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P:\1 - OUTILS\12 - Dimensionnement PRIMA\PRIMA+\"/>
    </mc:Choice>
  </mc:AlternateContent>
  <xr:revisionPtr revIDLastSave="0" documentId="13_ncr:1_{5D2F287D-9060-450B-AF0C-C96A929E1C03}" xr6:coauthVersionLast="47" xr6:coauthVersionMax="47" xr10:uidLastSave="{00000000-0000-0000-0000-000000000000}"/>
  <bookViews>
    <workbookView xWindow="-108" yWindow="-108" windowWidth="23256" windowHeight="12456" xr2:uid="{9A03D94B-A9DF-4997-9FA2-5F5D10C6381F}"/>
  </bookViews>
  <sheets>
    <sheet name="Données" sheetId="1" r:id="rId1"/>
    <sheet name="Neige" sheetId="3" state="hidden" r:id="rId2"/>
    <sheet name="Vent" sheetId="2" state="hidden" r:id="rId3"/>
    <sheet name="Charges Admissibles" sheetId="4" state="hidden" r:id="rId4"/>
    <sheet name="A39" sheetId="5" state="hidden" r:id="rId5"/>
    <sheet name="A45" sheetId="6" state="hidden" r:id="rId6"/>
    <sheet name="IN" sheetId="7" state="hidden" r:id="rId7"/>
    <sheet name="DOWN" sheetId="8" state="hidden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6" l="1"/>
  <c r="F53" i="6"/>
  <c r="D53" i="6"/>
  <c r="D49" i="6"/>
  <c r="F49" i="6"/>
  <c r="H49" i="6"/>
  <c r="H45" i="6"/>
  <c r="F45" i="6"/>
  <c r="D45" i="6"/>
  <c r="H53" i="5"/>
  <c r="F53" i="5"/>
  <c r="D53" i="5"/>
  <c r="D49" i="5"/>
  <c r="F49" i="5"/>
  <c r="H49" i="5"/>
  <c r="H45" i="5"/>
  <c r="F45" i="5"/>
  <c r="D45" i="5"/>
  <c r="O53" i="5"/>
  <c r="M53" i="5"/>
  <c r="K53" i="5"/>
  <c r="K49" i="5"/>
  <c r="M49" i="5"/>
  <c r="O49" i="5"/>
  <c r="O45" i="5"/>
  <c r="M45" i="5"/>
  <c r="K45" i="5"/>
  <c r="O18" i="5"/>
  <c r="O19" i="5" s="1"/>
  <c r="O17" i="5"/>
  <c r="M18" i="5"/>
  <c r="M19" i="5"/>
  <c r="M17" i="5"/>
  <c r="G9" i="6"/>
  <c r="K53" i="6"/>
  <c r="M53" i="6"/>
  <c r="O53" i="6"/>
  <c r="O49" i="6"/>
  <c r="M49" i="6"/>
  <c r="K49" i="6"/>
  <c r="O45" i="6"/>
  <c r="M45" i="6"/>
  <c r="K45" i="6"/>
  <c r="H32" i="6"/>
  <c r="H31" i="6"/>
  <c r="F32" i="6"/>
  <c r="F31" i="6"/>
  <c r="F30" i="6"/>
  <c r="H30" i="6"/>
  <c r="F28" i="6"/>
  <c r="F27" i="6"/>
  <c r="H36" i="6"/>
  <c r="H34" i="6"/>
  <c r="F34" i="6"/>
  <c r="D36" i="6"/>
  <c r="D34" i="6"/>
  <c r="O35" i="5"/>
  <c r="O33" i="5"/>
  <c r="O31" i="5"/>
  <c r="M33" i="5"/>
  <c r="M31" i="5"/>
  <c r="K37" i="5"/>
  <c r="K35" i="5"/>
  <c r="K33" i="5"/>
  <c r="H27" i="5"/>
  <c r="H31" i="5"/>
  <c r="F31" i="5"/>
  <c r="F27" i="5"/>
  <c r="N31" i="6"/>
  <c r="N32" i="6"/>
  <c r="N33" i="6"/>
  <c r="N34" i="6"/>
  <c r="N35" i="6"/>
  <c r="N36" i="6"/>
  <c r="N37" i="6"/>
  <c r="N38" i="6"/>
  <c r="N39" i="6"/>
  <c r="L31" i="6"/>
  <c r="L32" i="6"/>
  <c r="L33" i="6"/>
  <c r="L34" i="6"/>
  <c r="L35" i="6"/>
  <c r="L36" i="6"/>
  <c r="L37" i="6"/>
  <c r="L38" i="6"/>
  <c r="L39" i="6"/>
  <c r="J31" i="6"/>
  <c r="J32" i="6"/>
  <c r="J33" i="6"/>
  <c r="J34" i="6"/>
  <c r="J35" i="6"/>
  <c r="J36" i="6"/>
  <c r="J37" i="6"/>
  <c r="J38" i="6"/>
  <c r="J39" i="6"/>
  <c r="G31" i="6"/>
  <c r="G32" i="6"/>
  <c r="G33" i="6"/>
  <c r="G34" i="6"/>
  <c r="G35" i="6"/>
  <c r="G36" i="6"/>
  <c r="G37" i="6"/>
  <c r="G38" i="6"/>
  <c r="G39" i="6"/>
  <c r="E31" i="6"/>
  <c r="E32" i="6"/>
  <c r="E33" i="6"/>
  <c r="E34" i="6"/>
  <c r="E35" i="6"/>
  <c r="E36" i="6"/>
  <c r="E37" i="6"/>
  <c r="E38" i="6"/>
  <c r="E39" i="6"/>
  <c r="N52" i="5"/>
  <c r="N51" i="5"/>
  <c r="L52" i="5"/>
  <c r="L51" i="5"/>
  <c r="J52" i="5"/>
  <c r="J51" i="5"/>
  <c r="G52" i="5"/>
  <c r="G51" i="5"/>
  <c r="E52" i="5"/>
  <c r="E51" i="5"/>
  <c r="C52" i="5"/>
  <c r="C51" i="5"/>
  <c r="N48" i="5"/>
  <c r="N47" i="5"/>
  <c r="L48" i="5"/>
  <c r="L47" i="5"/>
  <c r="J48" i="5"/>
  <c r="J47" i="5"/>
  <c r="G48" i="5"/>
  <c r="G47" i="5"/>
  <c r="E48" i="5"/>
  <c r="E47" i="5"/>
  <c r="C48" i="5"/>
  <c r="C47" i="5"/>
  <c r="N44" i="5"/>
  <c r="N43" i="5"/>
  <c r="L44" i="5"/>
  <c r="L43" i="5"/>
  <c r="J44" i="5"/>
  <c r="J43" i="5"/>
  <c r="C44" i="5"/>
  <c r="E44" i="5"/>
  <c r="G44" i="5"/>
  <c r="G43" i="5"/>
  <c r="E43" i="5"/>
  <c r="C43" i="5"/>
  <c r="N32" i="5"/>
  <c r="N33" i="5"/>
  <c r="N34" i="5"/>
  <c r="N35" i="5"/>
  <c r="N36" i="5"/>
  <c r="N37" i="5"/>
  <c r="N38" i="5"/>
  <c r="N39" i="5"/>
  <c r="N40" i="5"/>
  <c r="L32" i="5"/>
  <c r="L33" i="5"/>
  <c r="L34" i="5"/>
  <c r="L35" i="5"/>
  <c r="L36" i="5"/>
  <c r="L37" i="5"/>
  <c r="L38" i="5"/>
  <c r="L39" i="5"/>
  <c r="L40" i="5"/>
  <c r="G32" i="5"/>
  <c r="G33" i="5"/>
  <c r="G34" i="5"/>
  <c r="G35" i="5"/>
  <c r="G36" i="5"/>
  <c r="G37" i="5"/>
  <c r="G38" i="5"/>
  <c r="G39" i="5"/>
  <c r="G40" i="5"/>
  <c r="E32" i="5"/>
  <c r="E33" i="5"/>
  <c r="E34" i="5"/>
  <c r="E35" i="5"/>
  <c r="E36" i="5"/>
  <c r="E37" i="5"/>
  <c r="E38" i="5"/>
  <c r="E39" i="5"/>
  <c r="E40" i="5"/>
  <c r="J32" i="5"/>
  <c r="J33" i="5"/>
  <c r="J34" i="5"/>
  <c r="J35" i="5"/>
  <c r="J36" i="5"/>
  <c r="J37" i="5"/>
  <c r="J38" i="5"/>
  <c r="J39" i="5"/>
  <c r="J40" i="5"/>
  <c r="H18" i="6"/>
  <c r="H17" i="6"/>
  <c r="H15" i="6"/>
  <c r="H13" i="6"/>
  <c r="H11" i="6"/>
  <c r="H9" i="6"/>
  <c r="F15" i="6"/>
  <c r="F13" i="6"/>
  <c r="F11" i="6"/>
  <c r="F9" i="6"/>
  <c r="G16" i="6"/>
  <c r="N16" i="6" s="1"/>
  <c r="G17" i="6"/>
  <c r="N17" i="6" s="1"/>
  <c r="G18" i="6"/>
  <c r="N18" i="6" s="1"/>
  <c r="E16" i="6"/>
  <c r="L16" i="6" s="1"/>
  <c r="E17" i="6"/>
  <c r="L17" i="6" s="1"/>
  <c r="E18" i="6"/>
  <c r="L18" i="6" s="1"/>
  <c r="H18" i="5"/>
  <c r="H17" i="5"/>
  <c r="G16" i="5"/>
  <c r="N16" i="5" s="1"/>
  <c r="G17" i="5"/>
  <c r="N17" i="5" s="1"/>
  <c r="G18" i="5"/>
  <c r="N18" i="5" s="1"/>
  <c r="E16" i="5"/>
  <c r="L16" i="5" s="1"/>
  <c r="E17" i="5"/>
  <c r="L17" i="5" s="1"/>
  <c r="E18" i="5"/>
  <c r="L18" i="5" s="1"/>
  <c r="H28" i="4"/>
  <c r="H26" i="4" l="1"/>
  <c r="I26" i="4" s="1"/>
  <c r="I28" i="4" s="1"/>
  <c r="A32" i="4" s="1"/>
  <c r="H27" i="4" a="1"/>
  <c r="H27" i="4" s="1"/>
  <c r="I27" i="4" s="1"/>
  <c r="F25" i="4"/>
  <c r="F29" i="4"/>
  <c r="A28" i="4"/>
  <c r="A27" i="4"/>
  <c r="A26" i="4"/>
  <c r="U20" i="1"/>
  <c r="B17" i="2"/>
  <c r="B14" i="2"/>
  <c r="J33" i="8"/>
  <c r="K33" i="8"/>
  <c r="L33" i="8"/>
  <c r="J34" i="8"/>
  <c r="K34" i="8"/>
  <c r="L34" i="8"/>
  <c r="J35" i="8"/>
  <c r="K35" i="8"/>
  <c r="L35" i="8"/>
  <c r="J36" i="8"/>
  <c r="K36" i="8"/>
  <c r="L36" i="8"/>
  <c r="J37" i="8"/>
  <c r="K37" i="8"/>
  <c r="L37" i="8"/>
  <c r="J38" i="8"/>
  <c r="K38" i="8"/>
  <c r="L38" i="8"/>
  <c r="J39" i="8"/>
  <c r="K39" i="8"/>
  <c r="L39" i="8"/>
  <c r="J40" i="8"/>
  <c r="K40" i="8"/>
  <c r="L40" i="8"/>
  <c r="J41" i="8"/>
  <c r="K41" i="8"/>
  <c r="L41" i="8"/>
  <c r="J42" i="8"/>
  <c r="K42" i="8"/>
  <c r="L42" i="8"/>
  <c r="J43" i="8"/>
  <c r="K43" i="8"/>
  <c r="L43" i="8"/>
  <c r="J44" i="8"/>
  <c r="K44" i="8"/>
  <c r="L44" i="8"/>
  <c r="J45" i="8"/>
  <c r="K45" i="8"/>
  <c r="L45" i="8"/>
  <c r="J46" i="8"/>
  <c r="K46" i="8"/>
  <c r="L46" i="8"/>
  <c r="J47" i="8"/>
  <c r="K47" i="8"/>
  <c r="L47" i="8"/>
  <c r="J48" i="8"/>
  <c r="K48" i="8"/>
  <c r="L48" i="8"/>
  <c r="J49" i="8"/>
  <c r="K49" i="8"/>
  <c r="L49" i="8"/>
  <c r="J50" i="8"/>
  <c r="K50" i="8"/>
  <c r="L50" i="8"/>
  <c r="J51" i="8"/>
  <c r="K51" i="8"/>
  <c r="L51" i="8"/>
  <c r="J52" i="8"/>
  <c r="K52" i="8"/>
  <c r="L52" i="8"/>
  <c r="J53" i="8"/>
  <c r="K53" i="8"/>
  <c r="L53" i="8"/>
  <c r="J54" i="8"/>
  <c r="K54" i="8"/>
  <c r="L54" i="8"/>
  <c r="J55" i="8"/>
  <c r="K55" i="8"/>
  <c r="L55" i="8"/>
  <c r="J5" i="8"/>
  <c r="K5" i="8"/>
  <c r="L5" i="8"/>
  <c r="J6" i="8"/>
  <c r="K6" i="8"/>
  <c r="L6" i="8"/>
  <c r="J7" i="8"/>
  <c r="K7" i="8"/>
  <c r="L7" i="8"/>
  <c r="J8" i="8"/>
  <c r="K8" i="8"/>
  <c r="L8" i="8"/>
  <c r="J9" i="8"/>
  <c r="K9" i="8"/>
  <c r="L9" i="8"/>
  <c r="J10" i="8"/>
  <c r="K10" i="8"/>
  <c r="L10" i="8"/>
  <c r="J11" i="8"/>
  <c r="K11" i="8"/>
  <c r="L11" i="8"/>
  <c r="J12" i="8"/>
  <c r="K12" i="8"/>
  <c r="L12" i="8"/>
  <c r="J13" i="8"/>
  <c r="K13" i="8"/>
  <c r="L13" i="8"/>
  <c r="J14" i="8"/>
  <c r="K14" i="8"/>
  <c r="L14" i="8"/>
  <c r="J15" i="8"/>
  <c r="K15" i="8"/>
  <c r="L15" i="8"/>
  <c r="J16" i="8"/>
  <c r="K16" i="8"/>
  <c r="L16" i="8"/>
  <c r="J17" i="8"/>
  <c r="K17" i="8"/>
  <c r="L17" i="8"/>
  <c r="J18" i="8"/>
  <c r="K18" i="8"/>
  <c r="L18" i="8"/>
  <c r="J19" i="8"/>
  <c r="K19" i="8"/>
  <c r="L19" i="8"/>
  <c r="J20" i="8"/>
  <c r="K20" i="8"/>
  <c r="L20" i="8"/>
  <c r="J21" i="8"/>
  <c r="K21" i="8"/>
  <c r="L21" i="8"/>
  <c r="J22" i="8"/>
  <c r="K22" i="8"/>
  <c r="L22" i="8"/>
  <c r="J23" i="8"/>
  <c r="K23" i="8"/>
  <c r="L23" i="8"/>
  <c r="J24" i="8"/>
  <c r="K24" i="8"/>
  <c r="L24" i="8"/>
  <c r="J25" i="8"/>
  <c r="K25" i="8"/>
  <c r="L25" i="8"/>
  <c r="J26" i="8"/>
  <c r="K26" i="8"/>
  <c r="L26" i="8"/>
  <c r="J27" i="8"/>
  <c r="K27" i="8"/>
  <c r="L27" i="8"/>
  <c r="L32" i="8"/>
  <c r="K32" i="8"/>
  <c r="J32" i="8"/>
  <c r="L4" i="8"/>
  <c r="K4" i="8"/>
  <c r="J4" i="8"/>
  <c r="K24" i="7"/>
  <c r="L24" i="7"/>
  <c r="M24" i="7"/>
  <c r="N24" i="7"/>
  <c r="O24" i="7"/>
  <c r="P24" i="7"/>
  <c r="Q24" i="7"/>
  <c r="R24" i="7"/>
  <c r="K25" i="7"/>
  <c r="L25" i="7"/>
  <c r="M25" i="7"/>
  <c r="N25" i="7"/>
  <c r="O25" i="7"/>
  <c r="P25" i="7"/>
  <c r="Q25" i="7"/>
  <c r="R25" i="7"/>
  <c r="K26" i="7"/>
  <c r="L26" i="7"/>
  <c r="M26" i="7"/>
  <c r="N26" i="7"/>
  <c r="O26" i="7"/>
  <c r="P26" i="7"/>
  <c r="Q26" i="7"/>
  <c r="R26" i="7"/>
  <c r="K27" i="7"/>
  <c r="L27" i="7"/>
  <c r="M27" i="7"/>
  <c r="N27" i="7"/>
  <c r="O27" i="7"/>
  <c r="P27" i="7"/>
  <c r="Q27" i="7"/>
  <c r="R27" i="7"/>
  <c r="K28" i="7"/>
  <c r="L28" i="7"/>
  <c r="M28" i="7"/>
  <c r="N28" i="7"/>
  <c r="O28" i="7"/>
  <c r="P28" i="7"/>
  <c r="Q28" i="7"/>
  <c r="R28" i="7"/>
  <c r="K29" i="7"/>
  <c r="L29" i="7"/>
  <c r="M29" i="7"/>
  <c r="N29" i="7"/>
  <c r="O29" i="7"/>
  <c r="P29" i="7"/>
  <c r="Q29" i="7"/>
  <c r="R29" i="7"/>
  <c r="K30" i="7"/>
  <c r="L30" i="7"/>
  <c r="M30" i="7"/>
  <c r="N30" i="7"/>
  <c r="O30" i="7"/>
  <c r="P30" i="7"/>
  <c r="Q30" i="7"/>
  <c r="R30" i="7"/>
  <c r="K31" i="7"/>
  <c r="L31" i="7"/>
  <c r="M31" i="7"/>
  <c r="N31" i="7"/>
  <c r="O31" i="7"/>
  <c r="P31" i="7"/>
  <c r="Q31" i="7"/>
  <c r="R31" i="7"/>
  <c r="K32" i="7"/>
  <c r="L32" i="7"/>
  <c r="M32" i="7"/>
  <c r="N32" i="7"/>
  <c r="O32" i="7"/>
  <c r="P32" i="7"/>
  <c r="Q32" i="7"/>
  <c r="R32" i="7"/>
  <c r="K33" i="7"/>
  <c r="L33" i="7"/>
  <c r="M33" i="7"/>
  <c r="N33" i="7"/>
  <c r="O33" i="7"/>
  <c r="P33" i="7"/>
  <c r="Q33" i="7"/>
  <c r="R33" i="7"/>
  <c r="K34" i="7"/>
  <c r="L34" i="7"/>
  <c r="M34" i="7"/>
  <c r="N34" i="7"/>
  <c r="O34" i="7"/>
  <c r="P34" i="7"/>
  <c r="Q34" i="7"/>
  <c r="R34" i="7"/>
  <c r="K35" i="7"/>
  <c r="L35" i="7"/>
  <c r="M35" i="7"/>
  <c r="N35" i="7"/>
  <c r="O35" i="7"/>
  <c r="P35" i="7"/>
  <c r="Q35" i="7"/>
  <c r="R35" i="7"/>
  <c r="K36" i="7"/>
  <c r="L36" i="7"/>
  <c r="M36" i="7"/>
  <c r="N36" i="7"/>
  <c r="O36" i="7"/>
  <c r="P36" i="7"/>
  <c r="Q36" i="7"/>
  <c r="R36" i="7"/>
  <c r="K37" i="7"/>
  <c r="L37" i="7"/>
  <c r="M37" i="7"/>
  <c r="N37" i="7"/>
  <c r="O37" i="7"/>
  <c r="P37" i="7"/>
  <c r="Q37" i="7"/>
  <c r="R37" i="7"/>
  <c r="R23" i="7"/>
  <c r="R4" i="7"/>
  <c r="Q23" i="7"/>
  <c r="Q4" i="7"/>
  <c r="P23" i="7"/>
  <c r="P4" i="7"/>
  <c r="O23" i="7"/>
  <c r="O4" i="7"/>
  <c r="N23" i="7"/>
  <c r="N4" i="7"/>
  <c r="M23" i="7"/>
  <c r="M4" i="7"/>
  <c r="L23" i="7"/>
  <c r="L4" i="7"/>
  <c r="K23" i="7"/>
  <c r="K4" i="7"/>
  <c r="K5" i="7"/>
  <c r="L5" i="7"/>
  <c r="M5" i="7"/>
  <c r="N5" i="7"/>
  <c r="O5" i="7"/>
  <c r="P5" i="7"/>
  <c r="Q5" i="7"/>
  <c r="R5" i="7"/>
  <c r="K6" i="7"/>
  <c r="L6" i="7"/>
  <c r="M6" i="7"/>
  <c r="N6" i="7"/>
  <c r="O6" i="7"/>
  <c r="P6" i="7"/>
  <c r="Q6" i="7"/>
  <c r="R6" i="7"/>
  <c r="K7" i="7"/>
  <c r="L7" i="7"/>
  <c r="M7" i="7"/>
  <c r="N7" i="7"/>
  <c r="O7" i="7"/>
  <c r="P7" i="7"/>
  <c r="Q7" i="7"/>
  <c r="R7" i="7"/>
  <c r="K8" i="7"/>
  <c r="L8" i="7"/>
  <c r="M8" i="7"/>
  <c r="N8" i="7"/>
  <c r="O8" i="7"/>
  <c r="P8" i="7"/>
  <c r="Q8" i="7"/>
  <c r="R8" i="7"/>
  <c r="K9" i="7"/>
  <c r="L9" i="7"/>
  <c r="M9" i="7"/>
  <c r="N9" i="7"/>
  <c r="O9" i="7"/>
  <c r="P9" i="7"/>
  <c r="Q9" i="7"/>
  <c r="R9" i="7"/>
  <c r="K10" i="7"/>
  <c r="L10" i="7"/>
  <c r="M10" i="7"/>
  <c r="N10" i="7"/>
  <c r="O10" i="7"/>
  <c r="P10" i="7"/>
  <c r="Q10" i="7"/>
  <c r="R10" i="7"/>
  <c r="K11" i="7"/>
  <c r="L11" i="7"/>
  <c r="M11" i="7"/>
  <c r="N11" i="7"/>
  <c r="O11" i="7"/>
  <c r="P11" i="7"/>
  <c r="Q11" i="7"/>
  <c r="R11" i="7"/>
  <c r="K12" i="7"/>
  <c r="L12" i="7"/>
  <c r="M12" i="7"/>
  <c r="N12" i="7"/>
  <c r="O12" i="7"/>
  <c r="P12" i="7"/>
  <c r="Q12" i="7"/>
  <c r="R12" i="7"/>
  <c r="K13" i="7"/>
  <c r="L13" i="7"/>
  <c r="M13" i="7"/>
  <c r="N13" i="7"/>
  <c r="O13" i="7"/>
  <c r="P13" i="7"/>
  <c r="Q13" i="7"/>
  <c r="R13" i="7"/>
  <c r="K14" i="7"/>
  <c r="L14" i="7"/>
  <c r="M14" i="7"/>
  <c r="N14" i="7"/>
  <c r="O14" i="7"/>
  <c r="P14" i="7"/>
  <c r="Q14" i="7"/>
  <c r="R14" i="7"/>
  <c r="K15" i="7"/>
  <c r="L15" i="7"/>
  <c r="M15" i="7"/>
  <c r="N15" i="7"/>
  <c r="O15" i="7"/>
  <c r="P15" i="7"/>
  <c r="Q15" i="7"/>
  <c r="R15" i="7"/>
  <c r="K16" i="7"/>
  <c r="L16" i="7"/>
  <c r="M16" i="7"/>
  <c r="N16" i="7"/>
  <c r="O16" i="7"/>
  <c r="P16" i="7"/>
  <c r="Q16" i="7"/>
  <c r="R16" i="7"/>
  <c r="K17" i="7"/>
  <c r="L17" i="7"/>
  <c r="M17" i="7"/>
  <c r="N17" i="7"/>
  <c r="O17" i="7"/>
  <c r="P17" i="7"/>
  <c r="Q17" i="7"/>
  <c r="R17" i="7"/>
  <c r="K18" i="7"/>
  <c r="L18" i="7"/>
  <c r="M18" i="7"/>
  <c r="N18" i="7"/>
  <c r="O18" i="7"/>
  <c r="P18" i="7"/>
  <c r="Q18" i="7"/>
  <c r="R18" i="7"/>
  <c r="B10" i="4" l="1"/>
  <c r="K15" i="6"/>
  <c r="B58" i="6"/>
  <c r="B57" i="6"/>
  <c r="J41" i="6"/>
  <c r="N41" i="6" s="1"/>
  <c r="G41" i="6"/>
  <c r="E41" i="6"/>
  <c r="J40" i="6"/>
  <c r="N40" i="6" s="1"/>
  <c r="G40" i="6"/>
  <c r="E40" i="6"/>
  <c r="J30" i="6"/>
  <c r="L30" i="6" s="1"/>
  <c r="G30" i="6"/>
  <c r="E30" i="6"/>
  <c r="J29" i="6"/>
  <c r="L29" i="6" s="1"/>
  <c r="G29" i="6"/>
  <c r="E29" i="6"/>
  <c r="J28" i="6"/>
  <c r="N28" i="6" s="1"/>
  <c r="G28" i="6"/>
  <c r="E28" i="6"/>
  <c r="O27" i="6"/>
  <c r="M27" i="6"/>
  <c r="K27" i="6"/>
  <c r="J27" i="6"/>
  <c r="L27" i="6" s="1"/>
  <c r="G27" i="6"/>
  <c r="E27" i="6"/>
  <c r="J26" i="6"/>
  <c r="N26" i="6" s="1"/>
  <c r="G26" i="6"/>
  <c r="E26" i="6"/>
  <c r="G19" i="6"/>
  <c r="N19" i="6" s="1"/>
  <c r="E19" i="6"/>
  <c r="L19" i="6" s="1"/>
  <c r="O15" i="6"/>
  <c r="M15" i="6"/>
  <c r="G15" i="6"/>
  <c r="N15" i="6" s="1"/>
  <c r="E15" i="6"/>
  <c r="L15" i="6" s="1"/>
  <c r="G14" i="6"/>
  <c r="N14" i="6" s="1"/>
  <c r="E14" i="6"/>
  <c r="L14" i="6" s="1"/>
  <c r="O13" i="6"/>
  <c r="M13" i="6"/>
  <c r="K13" i="6"/>
  <c r="G13" i="6"/>
  <c r="N13" i="6" s="1"/>
  <c r="E13" i="6"/>
  <c r="L13" i="6" s="1"/>
  <c r="G12" i="6"/>
  <c r="N12" i="6" s="1"/>
  <c r="E12" i="6"/>
  <c r="L12" i="6" s="1"/>
  <c r="G11" i="6"/>
  <c r="N11" i="6" s="1"/>
  <c r="E11" i="6"/>
  <c r="L11" i="6" s="1"/>
  <c r="G10" i="6"/>
  <c r="N10" i="6" s="1"/>
  <c r="E10" i="6"/>
  <c r="L10" i="6" s="1"/>
  <c r="O9" i="6"/>
  <c r="M9" i="6"/>
  <c r="K9" i="6"/>
  <c r="N9" i="6"/>
  <c r="E9" i="6"/>
  <c r="L9" i="6" s="1"/>
  <c r="G8" i="6"/>
  <c r="N8" i="6" s="1"/>
  <c r="E8" i="6"/>
  <c r="L8" i="6" s="1"/>
  <c r="G7" i="6"/>
  <c r="N7" i="6" s="1"/>
  <c r="E7" i="6"/>
  <c r="L7" i="6" s="1"/>
  <c r="G6" i="6"/>
  <c r="N6" i="6" s="1"/>
  <c r="E6" i="6"/>
  <c r="L6" i="6" s="1"/>
  <c r="O5" i="6"/>
  <c r="M5" i="6"/>
  <c r="K5" i="6"/>
  <c r="L5" i="6"/>
  <c r="G5" i="6"/>
  <c r="E5" i="6"/>
  <c r="G4" i="6"/>
  <c r="N4" i="6" s="1"/>
  <c r="E4" i="6"/>
  <c r="L4" i="6" s="1"/>
  <c r="G3" i="6"/>
  <c r="N3" i="6" s="1"/>
  <c r="E3" i="6"/>
  <c r="L3" i="6" s="1"/>
  <c r="N2" i="6"/>
  <c r="L2" i="6"/>
  <c r="J2" i="6"/>
  <c r="B58" i="5"/>
  <c r="B57" i="5"/>
  <c r="J41" i="5"/>
  <c r="N41" i="5" s="1"/>
  <c r="G41" i="5"/>
  <c r="E41" i="5"/>
  <c r="J31" i="5"/>
  <c r="L31" i="5" s="1"/>
  <c r="G31" i="5"/>
  <c r="E31" i="5"/>
  <c r="J30" i="5"/>
  <c r="N30" i="5" s="1"/>
  <c r="G30" i="5"/>
  <c r="E30" i="5"/>
  <c r="J29" i="5"/>
  <c r="N29" i="5" s="1"/>
  <c r="G29" i="5"/>
  <c r="E29" i="5"/>
  <c r="J28" i="5"/>
  <c r="N28" i="5" s="1"/>
  <c r="G28" i="5"/>
  <c r="E28" i="5"/>
  <c r="J27" i="5"/>
  <c r="L27" i="5" s="1"/>
  <c r="G27" i="5"/>
  <c r="E27" i="5"/>
  <c r="D27" i="5"/>
  <c r="J26" i="5"/>
  <c r="N26" i="5" s="1"/>
  <c r="G26" i="5"/>
  <c r="E26" i="5"/>
  <c r="G19" i="5"/>
  <c r="N19" i="5" s="1"/>
  <c r="E19" i="5"/>
  <c r="L19" i="5" s="1"/>
  <c r="G15" i="5"/>
  <c r="N15" i="5" s="1"/>
  <c r="E15" i="5"/>
  <c r="L15" i="5" s="1"/>
  <c r="G14" i="5"/>
  <c r="N14" i="5" s="1"/>
  <c r="E14" i="5"/>
  <c r="L14" i="5" s="1"/>
  <c r="G13" i="5"/>
  <c r="N13" i="5" s="1"/>
  <c r="E13" i="5"/>
  <c r="L13" i="5" s="1"/>
  <c r="G12" i="5"/>
  <c r="N12" i="5" s="1"/>
  <c r="E12" i="5"/>
  <c r="L12" i="5" s="1"/>
  <c r="G11" i="5"/>
  <c r="N11" i="5" s="1"/>
  <c r="E11" i="5"/>
  <c r="L11" i="5" s="1"/>
  <c r="G10" i="5"/>
  <c r="N10" i="5" s="1"/>
  <c r="E10" i="5"/>
  <c r="L10" i="5" s="1"/>
  <c r="G9" i="5"/>
  <c r="N9" i="5" s="1"/>
  <c r="E9" i="5"/>
  <c r="L9" i="5" s="1"/>
  <c r="G8" i="5"/>
  <c r="N8" i="5" s="1"/>
  <c r="E8" i="5"/>
  <c r="L8" i="5" s="1"/>
  <c r="G7" i="5"/>
  <c r="N7" i="5" s="1"/>
  <c r="E7" i="5"/>
  <c r="L7" i="5" s="1"/>
  <c r="G6" i="5"/>
  <c r="N6" i="5" s="1"/>
  <c r="E6" i="5"/>
  <c r="L6" i="5" s="1"/>
  <c r="L5" i="5"/>
  <c r="G5" i="5"/>
  <c r="E5" i="5"/>
  <c r="G4" i="5"/>
  <c r="N4" i="5" s="1"/>
  <c r="E4" i="5"/>
  <c r="L4" i="5" s="1"/>
  <c r="G3" i="5"/>
  <c r="N3" i="5" s="1"/>
  <c r="E3" i="5"/>
  <c r="L3" i="5" s="1"/>
  <c r="N2" i="5"/>
  <c r="L2" i="5"/>
  <c r="J2" i="5"/>
  <c r="S38" i="1"/>
  <c r="S19" i="1"/>
  <c r="N27" i="6" l="1"/>
  <c r="N27" i="5"/>
  <c r="N5" i="6"/>
  <c r="L41" i="6"/>
  <c r="N30" i="6"/>
  <c r="L26" i="6"/>
  <c r="N31" i="5"/>
  <c r="L28" i="5"/>
  <c r="N5" i="5"/>
  <c r="L41" i="5"/>
  <c r="L26" i="5"/>
  <c r="L30" i="5"/>
  <c r="N29" i="6"/>
  <c r="L40" i="6"/>
  <c r="L28" i="6"/>
  <c r="L29" i="5"/>
  <c r="B4" i="4" l="1"/>
  <c r="B3" i="4"/>
  <c r="B22" i="2"/>
  <c r="B21" i="3" s="1"/>
  <c r="B17" i="3"/>
  <c r="A13" i="3"/>
  <c r="K18" i="2"/>
  <c r="J18" i="2"/>
  <c r="F22" i="1"/>
  <c r="B23" i="2" s="1"/>
  <c r="G22" i="1"/>
  <c r="B21" i="2"/>
  <c r="B20" i="2"/>
  <c r="B19" i="2"/>
  <c r="B18" i="2"/>
  <c r="B15" i="2"/>
  <c r="B13" i="3" l="1"/>
  <c r="B18" i="3" s="1"/>
  <c r="B19" i="3" s="1"/>
  <c r="F18" i="2"/>
  <c r="H18" i="2" s="1"/>
  <c r="F20" i="2"/>
  <c r="H20" i="2" s="1"/>
  <c r="F19" i="2"/>
  <c r="H19" i="2" s="1"/>
  <c r="B12" i="4"/>
  <c r="J19" i="1" s="1"/>
  <c r="B67" i="6"/>
  <c r="B66" i="6"/>
  <c r="B66" i="5"/>
  <c r="B67" i="5"/>
  <c r="B16" i="3"/>
  <c r="B24" i="2"/>
  <c r="L18" i="2"/>
  <c r="B13" i="4"/>
  <c r="R19" i="1" s="1"/>
  <c r="F17" i="3" l="1"/>
  <c r="H17" i="3" s="1"/>
  <c r="B8" i="4"/>
  <c r="B62" i="6"/>
  <c r="B62" i="5"/>
  <c r="B7" i="4"/>
  <c r="B61" i="6"/>
  <c r="C45" i="6" s="1"/>
  <c r="B61" i="5"/>
  <c r="C45" i="5" s="1"/>
  <c r="B9" i="4"/>
  <c r="B63" i="6"/>
  <c r="B63" i="5"/>
  <c r="S20" i="1"/>
  <c r="B20" i="3"/>
  <c r="N45" i="6" l="1"/>
  <c r="C43" i="6"/>
  <c r="D43" i="6" s="1"/>
  <c r="E45" i="6"/>
  <c r="G45" i="6"/>
  <c r="J45" i="6"/>
  <c r="L45" i="6"/>
  <c r="C49" i="6"/>
  <c r="E49" i="6"/>
  <c r="G49" i="6"/>
  <c r="J49" i="6"/>
  <c r="L49" i="6"/>
  <c r="N49" i="6"/>
  <c r="N53" i="6"/>
  <c r="C53" i="6"/>
  <c r="E53" i="6"/>
  <c r="G53" i="6"/>
  <c r="J53" i="6"/>
  <c r="L53" i="6"/>
  <c r="C37" i="4"/>
  <c r="D37" i="4"/>
  <c r="C38" i="4"/>
  <c r="D38" i="4"/>
  <c r="C36" i="4"/>
  <c r="D36" i="4"/>
  <c r="M10" i="1"/>
  <c r="M8" i="1"/>
  <c r="M9" i="1"/>
  <c r="B5" i="4"/>
  <c r="M7" i="1" s="1"/>
  <c r="B59" i="5"/>
  <c r="C23" i="5" s="1"/>
  <c r="B59" i="6"/>
  <c r="N23" i="6" s="1"/>
  <c r="B11" i="4"/>
  <c r="B65" i="6"/>
  <c r="B65" i="5"/>
  <c r="L45" i="5"/>
  <c r="N45" i="5"/>
  <c r="D44" i="5"/>
  <c r="J45" i="5"/>
  <c r="G45" i="5"/>
  <c r="E45" i="5"/>
  <c r="N49" i="5"/>
  <c r="L49" i="5"/>
  <c r="J49" i="5"/>
  <c r="G49" i="5"/>
  <c r="C49" i="5"/>
  <c r="E49" i="5"/>
  <c r="L53" i="5"/>
  <c r="N53" i="5"/>
  <c r="G53" i="5"/>
  <c r="J53" i="5"/>
  <c r="E53" i="5"/>
  <c r="C53" i="5"/>
  <c r="L43" i="6" l="1"/>
  <c r="L44" i="6"/>
  <c r="M44" i="6" s="1"/>
  <c r="J43" i="6"/>
  <c r="J44" i="6"/>
  <c r="K44" i="6" s="1"/>
  <c r="G51" i="6"/>
  <c r="E51" i="6"/>
  <c r="C51" i="6"/>
  <c r="C52" i="6" s="1"/>
  <c r="D52" i="6" s="1"/>
  <c r="N51" i="6"/>
  <c r="O51" i="6" s="1"/>
  <c r="C44" i="6"/>
  <c r="D44" i="6" s="1"/>
  <c r="L47" i="6"/>
  <c r="L48" i="6" s="1"/>
  <c r="M48" i="6" s="1"/>
  <c r="J47" i="6"/>
  <c r="G47" i="6"/>
  <c r="E47" i="6"/>
  <c r="E48" i="6" s="1"/>
  <c r="F48" i="6" s="1"/>
  <c r="C47" i="6"/>
  <c r="D47" i="6" s="1"/>
  <c r="L51" i="6"/>
  <c r="M51" i="6" s="1"/>
  <c r="J51" i="6"/>
  <c r="G43" i="6"/>
  <c r="E43" i="6"/>
  <c r="N47" i="6"/>
  <c r="N43" i="6"/>
  <c r="N44" i="6" s="1"/>
  <c r="O44" i="6" s="1"/>
  <c r="C21" i="5"/>
  <c r="M17" i="1"/>
  <c r="N17" i="1" s="1"/>
  <c r="J36" i="1"/>
  <c r="S35" i="1"/>
  <c r="S33" i="1"/>
  <c r="M16" i="1"/>
  <c r="C23" i="6"/>
  <c r="L23" i="6"/>
  <c r="E23" i="6"/>
  <c r="J23" i="6"/>
  <c r="G23" i="6"/>
  <c r="L23" i="5"/>
  <c r="L21" i="5" s="1"/>
  <c r="N23" i="5"/>
  <c r="E23" i="5"/>
  <c r="E21" i="5" s="1"/>
  <c r="J23" i="5"/>
  <c r="G23" i="5"/>
  <c r="O51" i="5"/>
  <c r="M52" i="5"/>
  <c r="M51" i="5"/>
  <c r="M43" i="5"/>
  <c r="O44" i="5"/>
  <c r="F48" i="5"/>
  <c r="F47" i="5"/>
  <c r="D47" i="5"/>
  <c r="F43" i="5"/>
  <c r="H47" i="5"/>
  <c r="H43" i="5"/>
  <c r="F52" i="5"/>
  <c r="K48" i="5"/>
  <c r="K52" i="5"/>
  <c r="K51" i="5"/>
  <c r="M48" i="5"/>
  <c r="K43" i="5"/>
  <c r="D52" i="5"/>
  <c r="H51" i="5"/>
  <c r="D43" i="5"/>
  <c r="D21" i="5" l="1"/>
  <c r="N52" i="6"/>
  <c r="O52" i="6" s="1"/>
  <c r="H51" i="6"/>
  <c r="C48" i="6"/>
  <c r="D48" i="6" s="1"/>
  <c r="O43" i="6"/>
  <c r="D51" i="6"/>
  <c r="O47" i="6"/>
  <c r="F47" i="6"/>
  <c r="N48" i="6"/>
  <c r="O48" i="6" s="1"/>
  <c r="F51" i="6"/>
  <c r="F43" i="6"/>
  <c r="H47" i="6"/>
  <c r="E52" i="6"/>
  <c r="F52" i="6" s="1"/>
  <c r="E44" i="6"/>
  <c r="F44" i="6" s="1"/>
  <c r="G48" i="6"/>
  <c r="H48" i="6" s="1"/>
  <c r="H43" i="6"/>
  <c r="K47" i="6"/>
  <c r="G52" i="6"/>
  <c r="H52" i="6" s="1"/>
  <c r="G44" i="6"/>
  <c r="H44" i="6" s="1"/>
  <c r="J48" i="6"/>
  <c r="K48" i="6" s="1"/>
  <c r="K51" i="6"/>
  <c r="K43" i="6"/>
  <c r="J52" i="6"/>
  <c r="K52" i="6" s="1"/>
  <c r="M47" i="6"/>
  <c r="M43" i="6"/>
  <c r="L52" i="6"/>
  <c r="M52" i="6" s="1"/>
  <c r="C22" i="5"/>
  <c r="D22" i="5" s="1"/>
  <c r="N16" i="1"/>
  <c r="K44" i="5"/>
  <c r="D48" i="5"/>
  <c r="J21" i="6"/>
  <c r="G21" i="6"/>
  <c r="M44" i="5"/>
  <c r="G21" i="5"/>
  <c r="E21" i="6"/>
  <c r="C21" i="6"/>
  <c r="N21" i="6"/>
  <c r="J21" i="5"/>
  <c r="N21" i="5"/>
  <c r="L21" i="6"/>
  <c r="O52" i="5"/>
  <c r="L22" i="5"/>
  <c r="M22" i="5" s="1"/>
  <c r="M21" i="5"/>
  <c r="O47" i="5"/>
  <c r="H44" i="5"/>
  <c r="F51" i="5"/>
  <c r="H52" i="5"/>
  <c r="F44" i="5"/>
  <c r="D51" i="5"/>
  <c r="H48" i="5"/>
  <c r="O43" i="5"/>
  <c r="M47" i="5"/>
  <c r="K47" i="5"/>
  <c r="O48" i="5"/>
  <c r="M23" i="5" l="1"/>
  <c r="J22" i="6"/>
  <c r="K22" i="6" s="1"/>
  <c r="L22" i="6"/>
  <c r="M22" i="6" s="1"/>
  <c r="J22" i="5"/>
  <c r="K22" i="5" s="1"/>
  <c r="N22" i="5"/>
  <c r="O22" i="5" s="1"/>
  <c r="N22" i="6"/>
  <c r="O22" i="6" s="1"/>
  <c r="C22" i="6"/>
  <c r="D22" i="6" s="1"/>
  <c r="D23" i="5"/>
  <c r="E22" i="6"/>
  <c r="F22" i="6" s="1"/>
  <c r="F23" i="6"/>
  <c r="H21" i="5"/>
  <c r="D61" i="6"/>
  <c r="E61" i="6" s="1"/>
  <c r="D63" i="6"/>
  <c r="E63" i="6" s="1"/>
  <c r="F61" i="6"/>
  <c r="G61" i="6" s="1"/>
  <c r="G22" i="5"/>
  <c r="H22" i="5" s="1"/>
  <c r="D63" i="5"/>
  <c r="O21" i="5"/>
  <c r="O23" i="5" s="1"/>
  <c r="K21" i="5"/>
  <c r="K23" i="5" s="1"/>
  <c r="H21" i="6"/>
  <c r="O21" i="6"/>
  <c r="O23" i="6" s="1"/>
  <c r="G22" i="6"/>
  <c r="H22" i="6" s="1"/>
  <c r="D21" i="6"/>
  <c r="F21" i="5"/>
  <c r="F63" i="5"/>
  <c r="M21" i="6"/>
  <c r="E22" i="5"/>
  <c r="F21" i="6"/>
  <c r="K21" i="6"/>
  <c r="K23" i="6" s="1"/>
  <c r="F62" i="5"/>
  <c r="D23" i="6" l="1"/>
  <c r="H23" i="6"/>
  <c r="F22" i="5"/>
  <c r="F23" i="5"/>
  <c r="H23" i="5"/>
  <c r="M23" i="6"/>
  <c r="F63" i="6"/>
  <c r="G63" i="6" s="1"/>
  <c r="F61" i="5"/>
  <c r="G61" i="5" s="1"/>
  <c r="G7" i="4" s="1"/>
  <c r="N8" i="1" s="1"/>
  <c r="D62" i="5"/>
  <c r="D8" i="4" s="1"/>
  <c r="E63" i="5"/>
  <c r="E9" i="4" s="1"/>
  <c r="D9" i="4"/>
  <c r="G63" i="5"/>
  <c r="G9" i="4" s="1"/>
  <c r="N10" i="1" s="1"/>
  <c r="F9" i="4"/>
  <c r="G62" i="5"/>
  <c r="G8" i="4" s="1"/>
  <c r="N9" i="1" s="1"/>
  <c r="F8" i="4"/>
  <c r="F59" i="6"/>
  <c r="G59" i="6" s="1"/>
  <c r="F59" i="5"/>
  <c r="F62" i="6"/>
  <c r="D62" i="6"/>
  <c r="D61" i="5"/>
  <c r="D7" i="4" s="1"/>
  <c r="D59" i="6"/>
  <c r="F7" i="4" l="1"/>
  <c r="E62" i="5"/>
  <c r="E8" i="4" s="1"/>
  <c r="G59" i="5"/>
  <c r="F5" i="4"/>
  <c r="M61" i="6"/>
  <c r="M63" i="6"/>
  <c r="M62" i="5"/>
  <c r="M8" i="4" s="1"/>
  <c r="M63" i="5"/>
  <c r="M9" i="4" s="1"/>
  <c r="M61" i="5"/>
  <c r="M7" i="4" s="1"/>
  <c r="D59" i="5"/>
  <c r="E59" i="6"/>
  <c r="I63" i="6" s="1"/>
  <c r="L61" i="6"/>
  <c r="L63" i="6"/>
  <c r="G62" i="6"/>
  <c r="E61" i="5"/>
  <c r="L62" i="6"/>
  <c r="E62" i="6"/>
  <c r="M62" i="6"/>
  <c r="E7" i="4" l="1"/>
  <c r="E59" i="5"/>
  <c r="E5" i="4" s="1"/>
  <c r="D5" i="4"/>
  <c r="G5" i="4"/>
  <c r="N7" i="1" s="1"/>
  <c r="L61" i="5"/>
  <c r="L7" i="4" s="1"/>
  <c r="L62" i="5"/>
  <c r="L8" i="4" s="1"/>
  <c r="L63" i="5"/>
  <c r="L9" i="4" s="1"/>
  <c r="I61" i="6"/>
  <c r="I62" i="6"/>
  <c r="I61" i="5" l="1"/>
  <c r="I63" i="5"/>
  <c r="I62" i="5"/>
  <c r="I7" i="4" l="1"/>
  <c r="E36" i="4" s="1"/>
  <c r="F36" i="4" s="1"/>
  <c r="I8" i="4"/>
  <c r="I9" i="4"/>
  <c r="E38" i="4" l="1"/>
  <c r="F38" i="4" s="1"/>
  <c r="I38" i="4"/>
  <c r="E37" i="4"/>
  <c r="F37" i="4" s="1"/>
  <c r="I37" i="4"/>
  <c r="I13" i="4" l="1"/>
  <c r="J20" i="1" s="1"/>
  <c r="I14" i="4"/>
  <c r="J34" i="1" s="1"/>
  <c r="R34" i="1" s="1"/>
  <c r="H38" i="4"/>
  <c r="H37" i="4"/>
  <c r="K34" i="1" l="1"/>
  <c r="R20" i="1"/>
  <c r="K16" i="1"/>
  <c r="I36" i="4"/>
  <c r="I12" i="4" s="1"/>
  <c r="K17" i="1" l="1"/>
  <c r="T33" i="1" s="1"/>
  <c r="T34" i="1" s="1"/>
  <c r="K20" i="1"/>
  <c r="J18" i="1" s="1"/>
  <c r="H36" i="4"/>
  <c r="K40" i="1" s="1"/>
  <c r="T25" i="1"/>
  <c r="T26" i="1" s="1"/>
  <c r="L16" i="1"/>
  <c r="O16" i="1" l="1"/>
  <c r="U33" i="1"/>
  <c r="U34" i="1" s="1"/>
  <c r="L17" i="1"/>
  <c r="U25" i="1"/>
  <c r="U26" i="1" s="1"/>
  <c r="R1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<sst xmlns="http://schemas.openxmlformats.org/spreadsheetml/2006/main" count="1014" uniqueCount="199">
  <si>
    <t>Zone de vent :</t>
  </si>
  <si>
    <t xml:space="preserve">Coefficient de site : </t>
  </si>
  <si>
    <t>Zone de neige :</t>
  </si>
  <si>
    <t>Altitude</t>
  </si>
  <si>
    <t>Entraxe pannes</t>
  </si>
  <si>
    <t>Poids :</t>
  </si>
  <si>
    <t>Type de pose :</t>
  </si>
  <si>
    <t>Paysage</t>
  </si>
  <si>
    <t>Zone 1</t>
  </si>
  <si>
    <t>Zone 2</t>
  </si>
  <si>
    <t>Zone 3</t>
  </si>
  <si>
    <t>Zone 4</t>
  </si>
  <si>
    <t>Q10</t>
  </si>
  <si>
    <t>Zone de vent</t>
  </si>
  <si>
    <t>Type de procédé</t>
  </si>
  <si>
    <t>OPTIMA (surimposé avec fixation sur les pannes)</t>
  </si>
  <si>
    <t>PRIMA (autres)</t>
  </si>
  <si>
    <t>δ</t>
  </si>
  <si>
    <t>Ks</t>
  </si>
  <si>
    <t>Ci</t>
  </si>
  <si>
    <t>Partie courante</t>
  </si>
  <si>
    <t>En rive</t>
  </si>
  <si>
    <t>En angle</t>
  </si>
  <si>
    <t>Ce</t>
  </si>
  <si>
    <t>protégé / normal</t>
  </si>
  <si>
    <t>exposé</t>
  </si>
  <si>
    <t>Sorties:</t>
  </si>
  <si>
    <t>Ce Rive</t>
  </si>
  <si>
    <t>Ce Angle</t>
  </si>
  <si>
    <t>Ce Cour</t>
  </si>
  <si>
    <t>H</t>
  </si>
  <si>
    <t>Pa</t>
  </si>
  <si>
    <t>m</t>
  </si>
  <si>
    <t>Pv Rive</t>
  </si>
  <si>
    <t>Pv Angle</t>
  </si>
  <si>
    <t>Pv Courant</t>
  </si>
  <si>
    <t>°</t>
  </si>
  <si>
    <t>kg</t>
  </si>
  <si>
    <t>Ms</t>
  </si>
  <si>
    <t>kg/m²</t>
  </si>
  <si>
    <t>Combiné avec</t>
  </si>
  <si>
    <t>Poids propre</t>
  </si>
  <si>
    <t>Vent seul</t>
  </si>
  <si>
    <t>angle</t>
  </si>
  <si>
    <t>limites</t>
  </si>
  <si>
    <t>rive mini</t>
  </si>
  <si>
    <t>rive maxi</t>
  </si>
  <si>
    <t>rampant min</t>
  </si>
  <si>
    <t>rampant max</t>
  </si>
  <si>
    <t>faitage</t>
  </si>
  <si>
    <t>région de neige</t>
  </si>
  <si>
    <t>A1</t>
  </si>
  <si>
    <t>A2</t>
  </si>
  <si>
    <t>B1</t>
  </si>
  <si>
    <t>B2</t>
  </si>
  <si>
    <t>C1</t>
  </si>
  <si>
    <t>C2</t>
  </si>
  <si>
    <t>D</t>
  </si>
  <si>
    <t>E</t>
  </si>
  <si>
    <t>Pn0</t>
  </si>
  <si>
    <r>
      <rPr>
        <sz val="11"/>
        <color theme="1"/>
        <rFont val="Grotesque"/>
        <family val="2"/>
      </rPr>
      <t>Δ</t>
    </r>
    <r>
      <rPr>
        <sz val="11"/>
        <color theme="1"/>
        <rFont val="Aptos Narrow"/>
        <family val="2"/>
      </rPr>
      <t>Pn0</t>
    </r>
  </si>
  <si>
    <t>valeur mini Pn0+ΔPn0</t>
  </si>
  <si>
    <t>Sorties</t>
  </si>
  <si>
    <t>Pn0+ΔPn0</t>
  </si>
  <si>
    <t>I1</t>
  </si>
  <si>
    <t>Limite BG</t>
  </si>
  <si>
    <t>Angle</t>
  </si>
  <si>
    <t>pn</t>
  </si>
  <si>
    <t>%</t>
  </si>
  <si>
    <t>Neige seule</t>
  </si>
  <si>
    <t>Charges déscendantes</t>
  </si>
  <si>
    <t>2 appuis</t>
  </si>
  <si>
    <t>3 appuis</t>
  </si>
  <si>
    <t>4 appuis</t>
  </si>
  <si>
    <t>2 short rails</t>
  </si>
  <si>
    <t>3 short rails</t>
  </si>
  <si>
    <t>Charges ascendantes</t>
  </si>
  <si>
    <t>nb appuis</t>
  </si>
  <si>
    <t>Charge descendante</t>
  </si>
  <si>
    <t>Charge ascendante courant</t>
  </si>
  <si>
    <t>Charge ascendante rive</t>
  </si>
  <si>
    <t>Charge ascendante angle</t>
  </si>
  <si>
    <t>Avant</t>
  </si>
  <si>
    <t>Apres</t>
  </si>
  <si>
    <t>Recherche</t>
  </si>
  <si>
    <t>Status</t>
  </si>
  <si>
    <t>Courant</t>
  </si>
  <si>
    <t>Rive</t>
  </si>
  <si>
    <t>Entraxe maxi 2 rail</t>
  </si>
  <si>
    <t>Entraxe maxi 3 rail</t>
  </si>
  <si>
    <t>Limite rives</t>
  </si>
  <si>
    <t>Entraxe max requis</t>
  </si>
  <si>
    <t>Données Régionnales :</t>
  </si>
  <si>
    <t xml:space="preserve">Données du Bâtiment : </t>
  </si>
  <si>
    <t xml:space="preserve">Données du module installé : </t>
  </si>
  <si>
    <t>Limite BG neige</t>
  </si>
  <si>
    <t>Limite BG vent</t>
  </si>
  <si>
    <t>1 rampant</t>
  </si>
  <si>
    <t>2 rampants</t>
  </si>
  <si>
    <t>lg rampang</t>
  </si>
  <si>
    <t>0m</t>
  </si>
  <si>
    <t>Description d'un rampant :</t>
  </si>
  <si>
    <t>Puissance :</t>
  </si>
  <si>
    <t>Wc</t>
  </si>
  <si>
    <t>Zone Haute</t>
  </si>
  <si>
    <t>Zone Basse</t>
  </si>
  <si>
    <t xml:space="preserve">Charges ascendantes en zone courante = </t>
  </si>
  <si>
    <t xml:space="preserve">Charges ascendantes en rives = </t>
  </si>
  <si>
    <t xml:space="preserve">Charges ascendantes en angle = </t>
  </si>
  <si>
    <t>Zone Haute :</t>
  </si>
  <si>
    <t>Zone Basse :</t>
  </si>
  <si>
    <t>2 - Procédé photovoltaïque suivant le cahier 3803_V2 (CSTB - Juin 2022)</t>
  </si>
  <si>
    <t xml:space="preserve">Charges descendantes (toutes zones) = </t>
  </si>
  <si>
    <t>nb mod</t>
  </si>
  <si>
    <t>nb prima</t>
  </si>
  <si>
    <t>3 short rails (pas de données en A45)</t>
  </si>
  <si>
    <r>
      <t xml:space="preserve">m ( </t>
    </r>
    <r>
      <rPr>
        <sz val="11"/>
        <color theme="1"/>
        <rFont val="Aptos Narrow"/>
        <family val="2"/>
      </rPr>
      <t>≤9</t>
    </r>
    <r>
      <rPr>
        <sz val="11"/>
        <color theme="1"/>
        <rFont val="Aptos Narrow"/>
        <family val="2"/>
        <scheme val="minor"/>
      </rPr>
      <t>00m)</t>
    </r>
  </si>
  <si>
    <t>Hauteur du bâtiment, H :</t>
  </si>
  <si>
    <t>Longueur du faitage, a :</t>
  </si>
  <si>
    <t>largeur du bâtiment, b (&lt;a) :</t>
  </si>
  <si>
    <t>Pente du toit :</t>
  </si>
  <si>
    <t xml:space="preserve">Entraxe pannes : </t>
  </si>
  <si>
    <t xml:space="preserve">Nb d'appuis du support : </t>
  </si>
  <si>
    <t>Longueur :</t>
  </si>
  <si>
    <t xml:space="preserve">Largeur : </t>
  </si>
  <si>
    <t xml:space="preserve">Hauteur d'onde du bac acier : </t>
  </si>
  <si>
    <t>H onde selec</t>
  </si>
  <si>
    <t>types de toitures possible (EKLIPS)</t>
  </si>
  <si>
    <t>Vent</t>
  </si>
  <si>
    <t>rug</t>
  </si>
  <si>
    <t>h</t>
  </si>
  <si>
    <t>toit</t>
  </si>
  <si>
    <t>courant</t>
  </si>
  <si>
    <t>rive</t>
  </si>
  <si>
    <t>avec 2 rails</t>
  </si>
  <si>
    <t>avec 3 rails</t>
  </si>
  <si>
    <t>-</t>
  </si>
  <si>
    <t>Hauteur (m)</t>
  </si>
  <si>
    <t>Implantation</t>
  </si>
  <si>
    <t>Zone vent 1</t>
  </si>
  <si>
    <t>Zone vent 2</t>
  </si>
  <si>
    <t>Zone vent 3</t>
  </si>
  <si>
    <t>Zone vent 4</t>
  </si>
  <si>
    <t>Normal</t>
  </si>
  <si>
    <t>Exposé</t>
  </si>
  <si>
    <t>Courante</t>
  </si>
  <si>
    <t>Rives</t>
  </si>
  <si>
    <t>Angles</t>
  </si>
  <si>
    <t>2 rails</t>
  </si>
  <si>
    <t>3 rails</t>
  </si>
  <si>
    <t>30% pente / 4 appuis / A39</t>
  </si>
  <si>
    <t>Neige</t>
  </si>
  <si>
    <t>Alt</t>
  </si>
  <si>
    <t>pente</t>
  </si>
  <si>
    <t>Pente de toiture</t>
  </si>
  <si>
    <t>6° (10%)</t>
  </si>
  <si>
    <t>15° (25%)</t>
  </si>
  <si>
    <t>30° (60%)</t>
  </si>
  <si>
    <t>mm</t>
  </si>
  <si>
    <r>
      <t xml:space="preserve">( </t>
    </r>
    <r>
      <rPr>
        <sz val="11"/>
        <color theme="1"/>
        <rFont val="Aptos Narrow"/>
        <family val="2"/>
      </rPr>
      <t>≤30</t>
    </r>
    <r>
      <rPr>
        <sz val="11"/>
        <color theme="1"/>
        <rFont val="Aptos Narrow"/>
        <family val="2"/>
        <scheme val="minor"/>
      </rPr>
      <t>°)</t>
    </r>
  </si>
  <si>
    <t>39mm</t>
  </si>
  <si>
    <t>45mm</t>
  </si>
  <si>
    <t>Synthèse entre 39 ou 45 selon choix</t>
  </si>
  <si>
    <t>NV65 simplifiés</t>
  </si>
  <si>
    <t>Imposer Pdyn de pointe</t>
  </si>
  <si>
    <t>Imposer Pression de neige</t>
  </si>
  <si>
    <r>
      <t>Pa</t>
    </r>
    <r>
      <rPr>
        <sz val="11"/>
        <color rgb="FFC00000"/>
        <rFont val="Aptos Narrow"/>
        <family val="2"/>
        <scheme val="minor"/>
      </rPr>
      <t xml:space="preserve"> </t>
    </r>
    <r>
      <rPr>
        <b/>
        <sz val="11"/>
        <color rgb="FFC00000"/>
        <rFont val="Aptos Narrow"/>
        <family val="2"/>
        <scheme val="minor"/>
      </rPr>
      <t>(utilisé si &gt; 0)</t>
    </r>
  </si>
  <si>
    <t>France</t>
  </si>
  <si>
    <t xml:space="preserve">Nombre de rampants : </t>
  </si>
  <si>
    <t>Nb rampants identiques av PV :</t>
  </si>
  <si>
    <t>CALCULATEUR PRIMA+</t>
  </si>
  <si>
    <t>PRIMA+ 2vis</t>
  </si>
  <si>
    <t>daN</t>
  </si>
  <si>
    <t>PRIMA+ 3vis</t>
  </si>
  <si>
    <t>PRIMA+XL 4vis</t>
  </si>
  <si>
    <t>Limites produits</t>
  </si>
  <si>
    <t>surface module</t>
  </si>
  <si>
    <t>m²</t>
  </si>
  <si>
    <t>Effort ascendant rive</t>
  </si>
  <si>
    <t>Effort ascendant angle</t>
  </si>
  <si>
    <t>effort ascendant courant</t>
  </si>
  <si>
    <t>Nb short rails possible</t>
  </si>
  <si>
    <t>choix pour le cas actuel</t>
  </si>
  <si>
    <t>revA -19/02/2026 par BPT</t>
  </si>
  <si>
    <t>1 - Système PRIMA+ fixé sur un profil de couverture en acier à ondes trapézoïdales à partir de 0,75mm, conforme au DTU 40.35 et à l'ETN A.22.06706</t>
  </si>
  <si>
    <t>3 - Limites d'utilisation définies dans la fiche technique PRIMA+ sous ETN A.22.06706</t>
  </si>
  <si>
    <t>nb short rail / carton</t>
  </si>
  <si>
    <t>4 - Vérifier la compatibilité entre la pose paysage et les zones de bridage du module par rapport au SI PRIMA+</t>
  </si>
  <si>
    <t>Données de sortie (NV65 simplifiée) :</t>
  </si>
  <si>
    <t>update choix Vs fatigue PRIMA+</t>
  </si>
  <si>
    <t>Avec prise en compte de la possibilité de mettre 2 vis seulement + tenue fatigue PRIMA+</t>
  </si>
  <si>
    <t>(possible 140daN)</t>
  </si>
  <si>
    <t>worst coef macquart 2vis</t>
  </si>
  <si>
    <t>worst coef macquart 3vis</t>
  </si>
  <si>
    <t>coef répartition efforts (eq macquart)</t>
  </si>
  <si>
    <t>lg module</t>
  </si>
  <si>
    <t>Interpolation</t>
  </si>
  <si>
    <t>5 - Le short rail PRIMA+ Bridge (avec ouverture pour le passage du cavalier TAN) doit impérativement être fixé avec 4 vis</t>
  </si>
  <si>
    <t>EXTRAPOLATION POSSIBLE (Vs comportement 2 rails)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</si>
</sst>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Grotesque"/>
      <family val="2"/>
    </font>
    <font>
      <sz val="16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31"/>
      <color rgb="FFC00000"/>
      <name val="STHupo"/>
      <charset val="134"/>
    </font>
    <font>
      <b/>
      <i/>
      <u/>
      <sz val="24"/>
      <color rgb="FFC00000"/>
      <name val="Aptos Narrow"/>
      <family val="2"/>
      <scheme val="minor"/>
    </font>
    <font>
      <i/>
      <sz val="11"/>
      <color rgb="FFC00000"/>
      <name val="Aptos Narrow"/>
      <family val="2"/>
      <scheme val="minor"/>
    </font>
    <font>
      <b/>
      <i/>
      <sz val="11"/>
      <color theme="6"/>
      <name val="Aptos Narrow"/>
      <family val="2"/>
      <scheme val="minor"/>
    </font>
    <font>
      <sz val="11"/>
      <color rgb="FFC00000"/>
      <name val="Aptos Narrow"/>
      <family val="2"/>
      <scheme val="minor"/>
    </font>
    <font>
      <b/>
      <sz val="11"/>
      <color rgb="FFC00000"/>
      <name val="Aptos Narrow"/>
      <family val="2"/>
      <scheme val="minor"/>
    </font>
    <font>
      <sz val="11"/>
      <name val="Aptos Narrow"/>
      <family val="2"/>
      <scheme val="minor"/>
    </font>
    <font>
      <b/>
      <i/>
      <sz val="11"/>
      <color theme="3" tint="0.249977111117893"/>
      <name val="Aptos Narrow"/>
      <family val="2"/>
      <scheme val="minor"/>
    </font>
    <font>
      <b/>
      <i/>
      <sz val="11"/>
      <name val="Aptos Narrow"/>
      <family val="2"/>
      <scheme val="minor"/>
    </font>
    <font>
      <b/>
      <sz val="12"/>
      <color rgb="FFC00000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sz val="11"/>
      <color rgb="FF000000"/>
      <name val="Calibri"/>
      <family val="2"/>
    </font>
    <font>
      <b/>
      <sz val="14"/>
      <color rgb="FFC00000"/>
      <name val="Arial"/>
      <family val="2"/>
    </font>
    <font>
      <b/>
      <sz val="11"/>
      <color rgb="FFC00000"/>
      <name val="Arial"/>
      <family val="2"/>
    </font>
    <font>
      <sz val="11"/>
      <color rgb="FFFF0000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i/>
      <sz val="11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gray125">
        <fgColor rgb="FFFF0000"/>
        <bgColor theme="0"/>
      </patternFill>
    </fill>
    <fill>
      <patternFill patternType="solid">
        <fgColor rgb="FFFF0000"/>
        <bgColor indexed="64"/>
      </patternFill>
    </fill>
  </fills>
  <borders count="8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C00000"/>
      </left>
      <right/>
      <top style="double">
        <color rgb="FFC00000"/>
      </top>
      <bottom/>
      <diagonal/>
    </border>
    <border>
      <left/>
      <right/>
      <top style="double">
        <color rgb="FFC00000"/>
      </top>
      <bottom/>
      <diagonal/>
    </border>
    <border>
      <left/>
      <right style="double">
        <color rgb="FFC00000"/>
      </right>
      <top style="double">
        <color rgb="FFC00000"/>
      </top>
      <bottom/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double">
        <color rgb="FFC00000"/>
      </left>
      <right/>
      <top/>
      <bottom style="double">
        <color rgb="FFC00000"/>
      </bottom>
      <diagonal/>
    </border>
    <border>
      <left/>
      <right/>
      <top/>
      <bottom style="double">
        <color rgb="FFC00000"/>
      </bottom>
      <diagonal/>
    </border>
    <border>
      <left/>
      <right style="double">
        <color rgb="FFC00000"/>
      </right>
      <top/>
      <bottom style="double">
        <color rgb="FFC00000"/>
      </bottom>
      <diagonal/>
    </border>
    <border>
      <left/>
      <right/>
      <top/>
      <bottom style="thick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/>
      <top/>
      <bottom style="thick">
        <color theme="7"/>
      </bottom>
      <diagonal/>
    </border>
    <border>
      <left style="dotted">
        <color auto="1"/>
      </left>
      <right style="thick">
        <color theme="6"/>
      </right>
      <top style="thick">
        <color theme="7"/>
      </top>
      <bottom/>
      <diagonal/>
    </border>
    <border>
      <left style="dotted">
        <color auto="1"/>
      </left>
      <right style="thick">
        <color theme="6"/>
      </right>
      <top/>
      <bottom/>
      <diagonal/>
    </border>
    <border>
      <left style="dotted">
        <color auto="1"/>
      </left>
      <right style="thick">
        <color theme="6"/>
      </right>
      <top/>
      <bottom style="dotted">
        <color auto="1"/>
      </bottom>
      <diagonal/>
    </border>
    <border>
      <left style="dotted">
        <color auto="1"/>
      </left>
      <right style="thick">
        <color theme="6"/>
      </right>
      <top style="dotted">
        <color auto="1"/>
      </top>
      <bottom/>
      <diagonal/>
    </border>
    <border>
      <left style="thick">
        <color theme="6"/>
      </left>
      <right style="dotted">
        <color auto="1"/>
      </right>
      <top style="thick">
        <color theme="7"/>
      </top>
      <bottom/>
      <diagonal/>
    </border>
    <border>
      <left style="thick">
        <color theme="6"/>
      </left>
      <right style="dotted">
        <color auto="1"/>
      </right>
      <top/>
      <bottom/>
      <diagonal/>
    </border>
    <border>
      <left style="thick">
        <color theme="6"/>
      </left>
      <right style="dotted">
        <color auto="1"/>
      </right>
      <top/>
      <bottom style="dotted">
        <color auto="1"/>
      </bottom>
      <diagonal/>
    </border>
    <border>
      <left style="thick">
        <color theme="6"/>
      </left>
      <right style="dotted">
        <color auto="1"/>
      </right>
      <top style="dotted">
        <color auto="1"/>
      </top>
      <bottom/>
      <diagonal/>
    </border>
    <border>
      <left style="thick">
        <color theme="6"/>
      </left>
      <right/>
      <top/>
      <bottom/>
      <diagonal/>
    </border>
    <border>
      <left style="thick">
        <color theme="6"/>
      </left>
      <right/>
      <top style="dotted">
        <color auto="1"/>
      </top>
      <bottom/>
      <diagonal/>
    </border>
    <border>
      <left style="thick">
        <color theme="6"/>
      </left>
      <right/>
      <top/>
      <bottom style="thick">
        <color auto="1"/>
      </bottom>
      <diagonal/>
    </border>
    <border>
      <left/>
      <right style="thick">
        <color theme="6"/>
      </right>
      <top style="dotted">
        <color auto="1"/>
      </top>
      <bottom/>
      <diagonal/>
    </border>
    <border>
      <left/>
      <right style="thick">
        <color theme="6"/>
      </right>
      <top/>
      <bottom/>
      <diagonal/>
    </border>
    <border>
      <left/>
      <right style="thick">
        <color theme="6"/>
      </right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0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34" xfId="0" applyBorder="1" applyAlignment="1">
      <alignment horizontal="center"/>
    </xf>
    <xf numFmtId="1" fontId="0" fillId="0" borderId="34" xfId="0" applyNumberFormat="1" applyBorder="1" applyAlignment="1">
      <alignment horizontal="center"/>
    </xf>
    <xf numFmtId="2" fontId="0" fillId="0" borderId="34" xfId="0" applyNumberFormat="1" applyBorder="1" applyAlignment="1">
      <alignment horizontal="center"/>
    </xf>
    <xf numFmtId="0" fontId="0" fillId="0" borderId="34" xfId="0" applyBorder="1" applyAlignment="1">
      <alignment horizontal="right"/>
    </xf>
    <xf numFmtId="0" fontId="0" fillId="0" borderId="35" xfId="0" applyBorder="1" applyAlignment="1">
      <alignment horizontal="right"/>
    </xf>
    <xf numFmtId="1" fontId="0" fillId="0" borderId="35" xfId="0" applyNumberFormat="1" applyBorder="1" applyAlignment="1">
      <alignment horizontal="center"/>
    </xf>
    <xf numFmtId="2" fontId="0" fillId="0" borderId="35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4" fillId="2" borderId="36" xfId="0" applyFont="1" applyFill="1" applyBorder="1" applyAlignment="1">
      <alignment horizontal="right"/>
    </xf>
    <xf numFmtId="1" fontId="4" fillId="2" borderId="36" xfId="0" applyNumberFormat="1" applyFont="1" applyFill="1" applyBorder="1" applyAlignment="1">
      <alignment horizontal="center"/>
    </xf>
    <xf numFmtId="2" fontId="4" fillId="2" borderId="36" xfId="0" applyNumberFormat="1" applyFont="1" applyFill="1" applyBorder="1" applyAlignment="1">
      <alignment horizontal="center"/>
    </xf>
    <xf numFmtId="2" fontId="4" fillId="2" borderId="6" xfId="0" applyNumberFormat="1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0" fontId="4" fillId="3" borderId="36" xfId="0" applyFont="1" applyFill="1" applyBorder="1" applyAlignment="1">
      <alignment horizontal="right"/>
    </xf>
    <xf numFmtId="1" fontId="4" fillId="3" borderId="36" xfId="0" applyNumberFormat="1" applyFont="1" applyFill="1" applyBorder="1" applyAlignment="1">
      <alignment horizontal="center"/>
    </xf>
    <xf numFmtId="2" fontId="4" fillId="3" borderId="36" xfId="0" applyNumberFormat="1" applyFont="1" applyFill="1" applyBorder="1" applyAlignment="1">
      <alignment horizontal="center"/>
    </xf>
    <xf numFmtId="2" fontId="4" fillId="3" borderId="6" xfId="0" applyNumberFormat="1" applyFont="1" applyFill="1" applyBorder="1" applyAlignment="1">
      <alignment horizontal="center"/>
    </xf>
    <xf numFmtId="1" fontId="4" fillId="3" borderId="5" xfId="0" applyNumberFormat="1" applyFont="1" applyFill="1" applyBorder="1" applyAlignment="1">
      <alignment horizontal="center"/>
    </xf>
    <xf numFmtId="0" fontId="4" fillId="4" borderId="36" xfId="0" applyFont="1" applyFill="1" applyBorder="1" applyAlignment="1">
      <alignment horizontal="right"/>
    </xf>
    <xf numFmtId="1" fontId="4" fillId="4" borderId="36" xfId="0" applyNumberFormat="1" applyFont="1" applyFill="1" applyBorder="1" applyAlignment="1">
      <alignment horizontal="center"/>
    </xf>
    <xf numFmtId="2" fontId="4" fillId="4" borderId="36" xfId="0" applyNumberFormat="1" applyFont="1" applyFill="1" applyBorder="1" applyAlignment="1">
      <alignment horizontal="center"/>
    </xf>
    <xf numFmtId="2" fontId="4" fillId="4" borderId="6" xfId="0" applyNumberFormat="1" applyFont="1" applyFill="1" applyBorder="1" applyAlignment="1">
      <alignment horizontal="center"/>
    </xf>
    <xf numFmtId="1" fontId="4" fillId="4" borderId="5" xfId="0" applyNumberFormat="1" applyFont="1" applyFill="1" applyBorder="1" applyAlignment="1">
      <alignment horizontal="center"/>
    </xf>
    <xf numFmtId="0" fontId="0" fillId="4" borderId="0" xfId="0" applyFill="1"/>
    <xf numFmtId="2" fontId="0" fillId="4" borderId="0" xfId="0" applyNumberFormat="1" applyFill="1"/>
    <xf numFmtId="2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0" fontId="0" fillId="2" borderId="0" xfId="0" applyFill="1"/>
    <xf numFmtId="2" fontId="0" fillId="2" borderId="0" xfId="0" applyNumberFormat="1" applyFill="1"/>
    <xf numFmtId="2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/>
    <xf numFmtId="2" fontId="0" fillId="3" borderId="0" xfId="0" applyNumberFormat="1" applyFill="1"/>
    <xf numFmtId="2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5" borderId="0" xfId="0" applyFill="1"/>
    <xf numFmtId="2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right"/>
    </xf>
    <xf numFmtId="0" fontId="0" fillId="0" borderId="3" xfId="0" applyBorder="1" applyAlignment="1">
      <alignment horizontal="right"/>
    </xf>
    <xf numFmtId="0" fontId="4" fillId="5" borderId="5" xfId="0" applyFont="1" applyFill="1" applyBorder="1" applyAlignment="1">
      <alignment horizontal="right"/>
    </xf>
    <xf numFmtId="1" fontId="4" fillId="5" borderId="36" xfId="0" applyNumberFormat="1" applyFont="1" applyFill="1" applyBorder="1" applyAlignment="1">
      <alignment horizontal="center"/>
    </xf>
    <xf numFmtId="2" fontId="4" fillId="5" borderId="36" xfId="0" applyNumberFormat="1" applyFont="1" applyFill="1" applyBorder="1" applyAlignment="1">
      <alignment horizontal="center"/>
    </xf>
    <xf numFmtId="2" fontId="4" fillId="5" borderId="6" xfId="0" applyNumberFormat="1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1" fontId="4" fillId="5" borderId="5" xfId="0" applyNumberFormat="1" applyFont="1" applyFill="1" applyBorder="1" applyAlignment="1">
      <alignment horizontal="center"/>
    </xf>
    <xf numFmtId="0" fontId="0" fillId="7" borderId="0" xfId="0" applyFill="1" applyAlignment="1" applyProtection="1">
      <alignment horizontal="right"/>
      <protection locked="0"/>
    </xf>
    <xf numFmtId="0" fontId="0" fillId="7" borderId="0" xfId="0" applyFill="1" applyProtection="1">
      <protection locked="0"/>
    </xf>
    <xf numFmtId="0" fontId="0" fillId="7" borderId="0" xfId="0" applyFill="1" applyAlignment="1" applyProtection="1">
      <alignment horizontal="right" indent="1"/>
      <protection locked="0"/>
    </xf>
    <xf numFmtId="0" fontId="4" fillId="0" borderId="0" xfId="0" applyFont="1"/>
    <xf numFmtId="0" fontId="0" fillId="8" borderId="0" xfId="0" applyFill="1"/>
    <xf numFmtId="0" fontId="0" fillId="8" borderId="37" xfId="0" applyFill="1" applyBorder="1"/>
    <xf numFmtId="0" fontId="0" fillId="8" borderId="38" xfId="0" applyFill="1" applyBorder="1"/>
    <xf numFmtId="0" fontId="0" fillId="8" borderId="39" xfId="0" applyFill="1" applyBorder="1"/>
    <xf numFmtId="0" fontId="5" fillId="8" borderId="40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0" fillId="8" borderId="40" xfId="0" applyFill="1" applyBorder="1"/>
    <xf numFmtId="0" fontId="6" fillId="8" borderId="0" xfId="0" applyFont="1" applyFill="1" applyAlignment="1">
      <alignment vertical="center"/>
    </xf>
    <xf numFmtId="0" fontId="0" fillId="8" borderId="41" xfId="0" applyFill="1" applyBorder="1"/>
    <xf numFmtId="0" fontId="10" fillId="8" borderId="0" xfId="0" applyFont="1" applyFill="1" applyAlignment="1">
      <alignment horizontal="right"/>
    </xf>
    <xf numFmtId="0" fontId="7" fillId="8" borderId="0" xfId="0" applyFont="1" applyFill="1"/>
    <xf numFmtId="0" fontId="4" fillId="8" borderId="0" xfId="0" applyFont="1" applyFill="1" applyAlignment="1">
      <alignment horizontal="right"/>
    </xf>
    <xf numFmtId="0" fontId="0" fillId="8" borderId="0" xfId="0" applyFill="1" applyAlignment="1">
      <alignment horizontal="right"/>
    </xf>
    <xf numFmtId="0" fontId="12" fillId="8" borderId="40" xfId="0" applyFont="1" applyFill="1" applyBorder="1" applyAlignment="1">
      <alignment horizontal="right"/>
    </xf>
    <xf numFmtId="2" fontId="12" fillId="8" borderId="54" xfId="0" applyNumberFormat="1" applyFont="1" applyFill="1" applyBorder="1" applyAlignment="1">
      <alignment horizontal="right"/>
    </xf>
    <xf numFmtId="0" fontId="12" fillId="8" borderId="54" xfId="0" applyFont="1" applyFill="1" applyBorder="1"/>
    <xf numFmtId="2" fontId="12" fillId="8" borderId="54" xfId="0" applyNumberFormat="1" applyFont="1" applyFill="1" applyBorder="1"/>
    <xf numFmtId="0" fontId="12" fillId="8" borderId="0" xfId="0" applyFont="1" applyFill="1" applyAlignment="1">
      <alignment horizontal="left"/>
    </xf>
    <xf numFmtId="0" fontId="8" fillId="8" borderId="0" xfId="0" applyFont="1" applyFill="1" applyAlignment="1">
      <alignment horizontal="left"/>
    </xf>
    <xf numFmtId="0" fontId="8" fillId="8" borderId="0" xfId="0" applyFont="1" applyFill="1"/>
    <xf numFmtId="0" fontId="13" fillId="8" borderId="0" xfId="0" applyFont="1" applyFill="1" applyAlignment="1">
      <alignment vertical="center" wrapText="1"/>
    </xf>
    <xf numFmtId="0" fontId="13" fillId="8" borderId="41" xfId="0" applyFont="1" applyFill="1" applyBorder="1" applyAlignment="1">
      <alignment vertical="center" wrapText="1"/>
    </xf>
    <xf numFmtId="2" fontId="0" fillId="8" borderId="0" xfId="0" applyNumberFormat="1" applyFill="1"/>
    <xf numFmtId="0" fontId="13" fillId="8" borderId="63" xfId="0" applyFont="1" applyFill="1" applyBorder="1" applyAlignment="1">
      <alignment vertical="center" wrapText="1"/>
    </xf>
    <xf numFmtId="0" fontId="15" fillId="8" borderId="0" xfId="0" applyFont="1" applyFill="1"/>
    <xf numFmtId="0" fontId="16" fillId="8" borderId="0" xfId="0" applyFont="1" applyFill="1" applyAlignment="1">
      <alignment vertical="center"/>
    </xf>
    <xf numFmtId="0" fontId="15" fillId="8" borderId="0" xfId="0" applyFont="1" applyFill="1" applyAlignment="1">
      <alignment vertical="center"/>
    </xf>
    <xf numFmtId="0" fontId="9" fillId="8" borderId="0" xfId="0" applyFont="1" applyFill="1"/>
    <xf numFmtId="2" fontId="8" fillId="8" borderId="0" xfId="0" applyNumberFormat="1" applyFont="1" applyFill="1" applyAlignment="1">
      <alignment vertical="center"/>
    </xf>
    <xf numFmtId="0" fontId="0" fillId="8" borderId="42" xfId="0" applyFill="1" applyBorder="1"/>
    <xf numFmtId="0" fontId="0" fillId="8" borderId="43" xfId="0" applyFill="1" applyBorder="1"/>
    <xf numFmtId="0" fontId="0" fillId="8" borderId="44" xfId="0" applyFill="1" applyBorder="1"/>
    <xf numFmtId="0" fontId="18" fillId="0" borderId="70" xfId="0" applyFont="1" applyBorder="1" applyAlignment="1">
      <alignment horizontal="center" vertical="center" wrapText="1"/>
    </xf>
    <xf numFmtId="0" fontId="18" fillId="0" borderId="70" xfId="0" applyFont="1" applyBorder="1" applyAlignment="1">
      <alignment vertical="center" wrapText="1"/>
    </xf>
    <xf numFmtId="0" fontId="20" fillId="9" borderId="70" xfId="0" applyFont="1" applyFill="1" applyBorder="1" applyAlignment="1">
      <alignment horizontal="center" vertical="center" wrapText="1"/>
    </xf>
    <xf numFmtId="0" fontId="9" fillId="8" borderId="43" xfId="0" applyFont="1" applyFill="1" applyBorder="1"/>
    <xf numFmtId="0" fontId="4" fillId="8" borderId="0" xfId="0" applyFont="1" applyFill="1" applyAlignment="1">
      <alignment vertical="center" wrapText="1"/>
    </xf>
    <xf numFmtId="0" fontId="0" fillId="8" borderId="73" xfId="0" applyFill="1" applyBorder="1"/>
    <xf numFmtId="0" fontId="0" fillId="7" borderId="74" xfId="0" applyFill="1" applyBorder="1" applyAlignment="1" applyProtection="1">
      <alignment horizontal="right"/>
      <protection locked="0"/>
    </xf>
    <xf numFmtId="0" fontId="0" fillId="8" borderId="74" xfId="0" applyFill="1" applyBorder="1"/>
    <xf numFmtId="0" fontId="5" fillId="8" borderId="74" xfId="0" applyFont="1" applyFill="1" applyBorder="1" applyAlignment="1">
      <alignment horizontal="center" vertical="center" wrapText="1"/>
    </xf>
    <xf numFmtId="0" fontId="0" fillId="8" borderId="75" xfId="0" applyFill="1" applyBorder="1"/>
    <xf numFmtId="0" fontId="0" fillId="8" borderId="76" xfId="0" applyFill="1" applyBorder="1"/>
    <xf numFmtId="0" fontId="0" fillId="8" borderId="77" xfId="0" applyFill="1" applyBorder="1"/>
    <xf numFmtId="0" fontId="5" fillId="8" borderId="77" xfId="0" applyFont="1" applyFill="1" applyBorder="1" applyAlignment="1">
      <alignment horizontal="center" vertical="center" wrapText="1"/>
    </xf>
    <xf numFmtId="0" fontId="21" fillId="8" borderId="0" xfId="0" applyFont="1" applyFill="1" applyAlignment="1">
      <alignment vertical="center" textRotation="90" wrapText="1"/>
    </xf>
    <xf numFmtId="0" fontId="0" fillId="7" borderId="77" xfId="0" applyFill="1" applyBorder="1" applyAlignment="1" applyProtection="1">
      <alignment horizontal="right"/>
      <protection locked="0"/>
    </xf>
    <xf numFmtId="0" fontId="7" fillId="8" borderId="43" xfId="0" applyFont="1" applyFill="1" applyBorder="1"/>
    <xf numFmtId="0" fontId="23" fillId="8" borderId="0" xfId="0" applyFont="1" applyFill="1"/>
    <xf numFmtId="0" fontId="24" fillId="8" borderId="0" xfId="0" applyFont="1" applyFill="1" applyAlignment="1">
      <alignment vertical="center" wrapText="1"/>
    </xf>
    <xf numFmtId="164" fontId="0" fillId="0" borderId="0" xfId="0" applyNumberFormat="1" applyAlignment="1">
      <alignment horizontal="center"/>
    </xf>
    <xf numFmtId="0" fontId="25" fillId="8" borderId="0" xfId="0" applyFont="1" applyFill="1"/>
    <xf numFmtId="0" fontId="10" fillId="8" borderId="0" xfId="0" applyFont="1" applyFill="1"/>
    <xf numFmtId="0" fontId="11" fillId="0" borderId="0" xfId="0" applyFont="1"/>
    <xf numFmtId="0" fontId="26" fillId="0" borderId="0" xfId="0" applyFont="1"/>
    <xf numFmtId="0" fontId="0" fillId="0" borderId="0" xfId="0" applyAlignment="1">
      <alignment horizontal="left"/>
    </xf>
    <xf numFmtId="165" fontId="0" fillId="0" borderId="35" xfId="0" applyNumberFormat="1" applyBorder="1" applyAlignment="1">
      <alignment horizontal="center"/>
    </xf>
    <xf numFmtId="165" fontId="4" fillId="4" borderId="36" xfId="0" applyNumberFormat="1" applyFont="1" applyFill="1" applyBorder="1" applyAlignment="1">
      <alignment horizontal="center"/>
    </xf>
    <xf numFmtId="165" fontId="0" fillId="0" borderId="0" xfId="0" applyNumberFormat="1"/>
    <xf numFmtId="0" fontId="0" fillId="0" borderId="82" xfId="0" applyBorder="1" applyAlignment="1">
      <alignment horizontal="center"/>
    </xf>
    <xf numFmtId="0" fontId="0" fillId="10" borderId="82" xfId="0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0" fillId="10" borderId="0" xfId="0" applyFill="1"/>
    <xf numFmtId="0" fontId="6" fillId="8" borderId="0" xfId="0" applyFont="1" applyFill="1" applyAlignment="1">
      <alignment horizontal="left" vertical="center"/>
    </xf>
    <xf numFmtId="0" fontId="10" fillId="8" borderId="0" xfId="0" applyFont="1" applyFill="1" applyAlignment="1">
      <alignment horizontal="left"/>
    </xf>
    <xf numFmtId="0" fontId="9" fillId="8" borderId="0" xfId="0" applyFont="1" applyFill="1" applyAlignment="1">
      <alignment horizontal="left" wrapText="1"/>
    </xf>
    <xf numFmtId="0" fontId="9" fillId="8" borderId="41" xfId="0" applyFont="1" applyFill="1" applyBorder="1" applyAlignment="1">
      <alignment horizontal="left" wrapText="1"/>
    </xf>
    <xf numFmtId="0" fontId="9" fillId="8" borderId="0" xfId="0" applyFont="1" applyFill="1" applyAlignment="1">
      <alignment horizontal="left"/>
    </xf>
    <xf numFmtId="0" fontId="9" fillId="8" borderId="41" xfId="0" applyFont="1" applyFill="1" applyBorder="1" applyAlignment="1">
      <alignment horizontal="left"/>
    </xf>
    <xf numFmtId="0" fontId="5" fillId="8" borderId="37" xfId="0" applyFont="1" applyFill="1" applyBorder="1" applyAlignment="1">
      <alignment horizontal="center" vertical="center" wrapText="1"/>
    </xf>
    <xf numFmtId="0" fontId="5" fillId="8" borderId="38" xfId="0" applyFont="1" applyFill="1" applyBorder="1" applyAlignment="1">
      <alignment horizontal="center" vertical="center" wrapText="1"/>
    </xf>
    <xf numFmtId="0" fontId="5" fillId="8" borderId="39" xfId="0" applyFont="1" applyFill="1" applyBorder="1" applyAlignment="1">
      <alignment horizontal="center" vertical="center" wrapText="1"/>
    </xf>
    <xf numFmtId="0" fontId="5" fillId="8" borderId="40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8" borderId="41" xfId="0" applyFont="1" applyFill="1" applyBorder="1" applyAlignment="1">
      <alignment horizontal="center" vertical="center" wrapText="1"/>
    </xf>
    <xf numFmtId="0" fontId="5" fillId="8" borderId="42" xfId="0" applyFont="1" applyFill="1" applyBorder="1" applyAlignment="1">
      <alignment horizontal="center" vertical="center" wrapText="1"/>
    </xf>
    <xf numFmtId="0" fontId="5" fillId="8" borderId="43" xfId="0" applyFont="1" applyFill="1" applyBorder="1" applyAlignment="1">
      <alignment horizontal="center" vertical="center" wrapText="1"/>
    </xf>
    <xf numFmtId="0" fontId="5" fillId="8" borderId="44" xfId="0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right"/>
    </xf>
    <xf numFmtId="0" fontId="22" fillId="8" borderId="78" xfId="0" applyFont="1" applyFill="1" applyBorder="1" applyAlignment="1">
      <alignment horizontal="center" vertical="center" textRotation="90" wrapText="1"/>
    </xf>
    <xf numFmtId="0" fontId="22" fillId="8" borderId="79" xfId="0" applyFont="1" applyFill="1" applyBorder="1" applyAlignment="1">
      <alignment horizontal="center" vertical="center" textRotation="90" wrapText="1"/>
    </xf>
    <xf numFmtId="0" fontId="22" fillId="8" borderId="80" xfId="0" applyFont="1" applyFill="1" applyBorder="1" applyAlignment="1">
      <alignment horizontal="center" vertical="center" textRotation="90" wrapText="1"/>
    </xf>
    <xf numFmtId="2" fontId="8" fillId="8" borderId="0" xfId="0" applyNumberFormat="1" applyFont="1" applyFill="1" applyAlignment="1">
      <alignment horizontal="left" vertical="center"/>
    </xf>
    <xf numFmtId="0" fontId="8" fillId="8" borderId="0" xfId="0" applyFont="1" applyFill="1" applyAlignment="1">
      <alignment horizontal="left" vertical="center"/>
    </xf>
    <xf numFmtId="0" fontId="6" fillId="8" borderId="41" xfId="0" applyFont="1" applyFill="1" applyBorder="1" applyAlignment="1">
      <alignment horizontal="left" vertical="center"/>
    </xf>
    <xf numFmtId="0" fontId="4" fillId="8" borderId="0" xfId="0" applyFont="1" applyFill="1" applyAlignment="1">
      <alignment horizontal="left" vertical="center" wrapText="1"/>
    </xf>
    <xf numFmtId="0" fontId="13" fillId="8" borderId="0" xfId="0" applyFont="1" applyFill="1" applyAlignment="1">
      <alignment horizontal="left" vertical="center" wrapText="1"/>
    </xf>
    <xf numFmtId="0" fontId="13" fillId="8" borderId="41" xfId="0" applyFont="1" applyFill="1" applyBorder="1" applyAlignment="1">
      <alignment horizontal="left" vertical="center" wrapText="1"/>
    </xf>
    <xf numFmtId="0" fontId="13" fillId="8" borderId="0" xfId="0" applyFont="1" applyFill="1" applyAlignment="1">
      <alignment horizontal="left" vertical="top" wrapText="1"/>
    </xf>
    <xf numFmtId="0" fontId="14" fillId="8" borderId="37" xfId="0" applyFont="1" applyFill="1" applyBorder="1" applyAlignment="1">
      <alignment horizontal="center" vertical="center"/>
    </xf>
    <xf numFmtId="0" fontId="14" fillId="8" borderId="38" xfId="0" applyFont="1" applyFill="1" applyBorder="1" applyAlignment="1">
      <alignment horizontal="center" vertical="center"/>
    </xf>
    <xf numFmtId="0" fontId="14" fillId="8" borderId="39" xfId="0" applyFont="1" applyFill="1" applyBorder="1" applyAlignment="1">
      <alignment horizontal="center" vertical="center"/>
    </xf>
    <xf numFmtId="0" fontId="14" fillId="8" borderId="42" xfId="0" applyFont="1" applyFill="1" applyBorder="1" applyAlignment="1">
      <alignment horizontal="center" vertical="center"/>
    </xf>
    <xf numFmtId="0" fontId="14" fillId="8" borderId="43" xfId="0" applyFont="1" applyFill="1" applyBorder="1" applyAlignment="1">
      <alignment horizontal="center" vertical="center"/>
    </xf>
    <xf numFmtId="0" fontId="14" fillId="8" borderId="44" xfId="0" applyFont="1" applyFill="1" applyBorder="1" applyAlignment="1">
      <alignment horizontal="center" vertical="center"/>
    </xf>
    <xf numFmtId="2" fontId="8" fillId="8" borderId="63" xfId="0" applyNumberFormat="1" applyFont="1" applyFill="1" applyBorder="1" applyAlignment="1">
      <alignment horizontal="left"/>
    </xf>
    <xf numFmtId="0" fontId="0" fillId="8" borderId="64" xfId="0" applyFill="1" applyBorder="1" applyAlignment="1">
      <alignment horizontal="center" vertical="center" wrapText="1"/>
    </xf>
    <xf numFmtId="0" fontId="0" fillId="8" borderId="47" xfId="0" applyFill="1" applyBorder="1" applyAlignment="1">
      <alignment horizontal="center" vertical="center" wrapText="1"/>
    </xf>
    <xf numFmtId="0" fontId="0" fillId="8" borderId="66" xfId="0" applyFill="1" applyBorder="1" applyAlignment="1">
      <alignment horizontal="center" vertical="center" wrapText="1"/>
    </xf>
    <xf numFmtId="0" fontId="0" fillId="8" borderId="63" xfId="0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0" fillId="8" borderId="67" xfId="0" applyFill="1" applyBorder="1" applyAlignment="1">
      <alignment horizontal="center" vertical="center" wrapText="1"/>
    </xf>
    <xf numFmtId="0" fontId="0" fillId="8" borderId="65" xfId="0" applyFill="1" applyBorder="1" applyAlignment="1">
      <alignment horizontal="center" vertical="center" wrapText="1"/>
    </xf>
    <xf numFmtId="0" fontId="0" fillId="8" borderId="45" xfId="0" applyFill="1" applyBorder="1" applyAlignment="1">
      <alignment horizontal="center" vertical="center" wrapText="1"/>
    </xf>
    <xf numFmtId="0" fontId="0" fillId="8" borderId="68" xfId="0" applyFill="1" applyBorder="1" applyAlignment="1">
      <alignment horizontal="center" vertical="center" wrapText="1"/>
    </xf>
    <xf numFmtId="0" fontId="0" fillId="8" borderId="62" xfId="0" applyFill="1" applyBorder="1" applyAlignment="1">
      <alignment horizontal="center" vertical="center" wrapText="1"/>
    </xf>
    <xf numFmtId="0" fontId="0" fillId="8" borderId="61" xfId="0" applyFill="1" applyBorder="1" applyAlignment="1">
      <alignment horizontal="center" vertical="center" wrapText="1"/>
    </xf>
    <xf numFmtId="0" fontId="0" fillId="8" borderId="58" xfId="0" applyFill="1" applyBorder="1" applyAlignment="1">
      <alignment horizontal="center" vertical="center" wrapText="1"/>
    </xf>
    <xf numFmtId="0" fontId="0" fillId="8" borderId="57" xfId="0" applyFill="1" applyBorder="1" applyAlignment="1">
      <alignment horizontal="center" vertical="center" wrapText="1"/>
    </xf>
    <xf numFmtId="0" fontId="0" fillId="8" borderId="46" xfId="0" applyFill="1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 wrapText="1"/>
    </xf>
    <xf numFmtId="0" fontId="0" fillId="8" borderId="49" xfId="0" applyFill="1" applyBorder="1" applyAlignment="1">
      <alignment horizontal="center" vertical="center" wrapText="1"/>
    </xf>
    <xf numFmtId="0" fontId="0" fillId="8" borderId="50" xfId="0" applyFill="1" applyBorder="1" applyAlignment="1">
      <alignment horizontal="center" vertical="center" wrapText="1"/>
    </xf>
    <xf numFmtId="0" fontId="0" fillId="8" borderId="51" xfId="0" applyFill="1" applyBorder="1" applyAlignment="1">
      <alignment horizontal="center" vertical="center" wrapText="1"/>
    </xf>
    <xf numFmtId="0" fontId="0" fillId="8" borderId="52" xfId="0" applyFill="1" applyBorder="1" applyAlignment="1">
      <alignment horizontal="center" vertical="center" wrapText="1"/>
    </xf>
    <xf numFmtId="0" fontId="0" fillId="8" borderId="53" xfId="0" applyFill="1" applyBorder="1" applyAlignment="1">
      <alignment horizontal="center" vertical="center" wrapText="1"/>
    </xf>
    <xf numFmtId="0" fontId="0" fillId="8" borderId="59" xfId="0" applyFill="1" applyBorder="1" applyAlignment="1">
      <alignment horizontal="center" vertical="center" wrapText="1"/>
    </xf>
    <xf numFmtId="0" fontId="0" fillId="8" borderId="60" xfId="0" applyFill="1" applyBorder="1" applyAlignment="1">
      <alignment horizontal="center" vertical="center" wrapText="1"/>
    </xf>
    <xf numFmtId="0" fontId="0" fillId="8" borderId="55" xfId="0" applyFill="1" applyBorder="1" applyAlignment="1">
      <alignment horizontal="center" vertical="center" wrapText="1"/>
    </xf>
    <xf numFmtId="0" fontId="0" fillId="8" borderId="56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3" borderId="0" xfId="0" applyFill="1" applyAlignment="1">
      <alignment horizontal="left"/>
    </xf>
    <xf numFmtId="0" fontId="0" fillId="0" borderId="81" xfId="0" applyBorder="1" applyAlignment="1">
      <alignment horizontal="center"/>
    </xf>
    <xf numFmtId="0" fontId="0" fillId="4" borderId="0" xfId="0" applyFill="1" applyAlignment="1">
      <alignment horizontal="center"/>
    </xf>
    <xf numFmtId="0" fontId="3" fillId="0" borderId="22" xfId="0" applyFont="1" applyBorder="1" applyAlignment="1">
      <alignment horizontal="center" vertical="center" textRotation="90" wrapText="1"/>
    </xf>
    <xf numFmtId="0" fontId="3" fillId="0" borderId="23" xfId="0" applyFont="1" applyBorder="1" applyAlignment="1">
      <alignment horizontal="center" vertical="center" textRotation="90" wrapText="1"/>
    </xf>
    <xf numFmtId="0" fontId="3" fillId="0" borderId="30" xfId="0" applyFont="1" applyBorder="1" applyAlignment="1">
      <alignment horizontal="center" vertical="center" textRotation="90" wrapText="1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5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29" xfId="0" applyFont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85" xfId="0" applyBorder="1" applyAlignment="1">
      <alignment horizontal="center"/>
    </xf>
    <xf numFmtId="0" fontId="4" fillId="4" borderId="83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2" borderId="83" xfId="0" applyFont="1" applyFill="1" applyBorder="1" applyAlignment="1">
      <alignment horizontal="center" vertical="center"/>
    </xf>
    <xf numFmtId="0" fontId="4" fillId="2" borderId="84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3" borderId="83" xfId="0" applyFont="1" applyFill="1" applyBorder="1" applyAlignment="1">
      <alignment horizontal="center" vertical="center"/>
    </xf>
    <xf numFmtId="0" fontId="4" fillId="3" borderId="84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18" fillId="0" borderId="2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8" fillId="0" borderId="72" xfId="0" applyFont="1" applyBorder="1" applyAlignment="1">
      <alignment horizontal="center" vertical="center" wrapText="1"/>
    </xf>
    <xf numFmtId="0" fontId="18" fillId="0" borderId="69" xfId="0" applyFont="1" applyBorder="1" applyAlignment="1">
      <alignment horizontal="center" vertical="center" wrapText="1"/>
    </xf>
    <xf numFmtId="0" fontId="18" fillId="0" borderId="71" xfId="0" applyFont="1" applyBorder="1" applyAlignment="1">
      <alignment horizontal="center" vertical="center" wrapText="1"/>
    </xf>
  </cellXfs>
  <cellStyles count="1">
    <cellStyle name="Normal" xfId="0" builtinId="0"/>
  </cellStyles>
  <dxfs count="19"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theme="4" tint="0.59996337778862885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 patternType="lightUp"/>
      </fill>
    </dxf>
    <dxf>
      <fill>
        <patternFill patternType="lightUp"/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685800</xdr:colOff>
      <xdr:row>2</xdr:row>
      <xdr:rowOff>51163</xdr:rowOff>
    </xdr:from>
    <xdr:to>
      <xdr:col>22</xdr:col>
      <xdr:colOff>60368</xdr:colOff>
      <xdr:row>10</xdr:row>
      <xdr:rowOff>135699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A4B9A35-14AC-4BB8-AAD2-7DFE0D7C3F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72"/>
        <a:stretch/>
      </xdr:blipFill>
      <xdr:spPr>
        <a:xfrm>
          <a:off x="13411200" y="214449"/>
          <a:ext cx="3979769" cy="1228080"/>
        </a:xfrm>
        <a:prstGeom prst="rect">
          <a:avLst/>
        </a:prstGeom>
      </xdr:spPr>
    </xdr:pic>
    <xdr:clientData/>
  </xdr:twoCellAnchor>
  <xdr:twoCellAnchor editAs="oneCell">
    <xdr:from>
      <xdr:col>7</xdr:col>
      <xdr:colOff>560070</xdr:colOff>
      <xdr:row>8</xdr:row>
      <xdr:rowOff>26669</xdr:rowOff>
    </xdr:from>
    <xdr:to>
      <xdr:col>7</xdr:col>
      <xdr:colOff>2498123</xdr:colOff>
      <xdr:row>19</xdr:row>
      <xdr:rowOff>59054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5862F91-3626-55BF-06DF-7A976FBA0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4870" y="912494"/>
          <a:ext cx="1941863" cy="2080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358140</xdr:colOff>
      <xdr:row>22</xdr:row>
      <xdr:rowOff>24765</xdr:rowOff>
    </xdr:from>
    <xdr:to>
      <xdr:col>7</xdr:col>
      <xdr:colOff>2607274</xdr:colOff>
      <xdr:row>33</xdr:row>
      <xdr:rowOff>153986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ED1362BA-78A6-29D2-A84B-D0A1DD5471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r="4794"/>
        <a:stretch>
          <a:fillRect/>
        </a:stretch>
      </xdr:blipFill>
      <xdr:spPr>
        <a:xfrm>
          <a:off x="4472940" y="3520440"/>
          <a:ext cx="2252944" cy="2119946"/>
        </a:xfrm>
        <a:prstGeom prst="rect">
          <a:avLst/>
        </a:prstGeom>
      </xdr:spPr>
    </xdr:pic>
    <xdr:clientData/>
  </xdr:twoCellAnchor>
  <xdr:twoCellAnchor>
    <xdr:from>
      <xdr:col>18</xdr:col>
      <xdr:colOff>1066800</xdr:colOff>
      <xdr:row>18</xdr:row>
      <xdr:rowOff>180975</xdr:rowOff>
    </xdr:from>
    <xdr:to>
      <xdr:col>18</xdr:col>
      <xdr:colOff>1181100</xdr:colOff>
      <xdr:row>33</xdr:row>
      <xdr:rowOff>9525</xdr:rowOff>
    </xdr:to>
    <xdr:sp macro="" textlink="">
      <xdr:nvSpPr>
        <xdr:cNvPr id="6" name="Parenthèse fermante 5">
          <a:extLst>
            <a:ext uri="{FF2B5EF4-FFF2-40B4-BE49-F238E27FC236}">
              <a16:creationId xmlns:a16="http://schemas.microsoft.com/office/drawing/2014/main" id="{432BC60D-7B4F-3912-28D5-AFB2348A9EA1}"/>
            </a:ext>
          </a:extLst>
        </xdr:cNvPr>
        <xdr:cNvSpPr/>
      </xdr:nvSpPr>
      <xdr:spPr>
        <a:xfrm>
          <a:off x="15592425" y="2552700"/>
          <a:ext cx="114300" cy="2562225"/>
        </a:xfrm>
        <a:prstGeom prst="rightBracket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18</xdr:col>
      <xdr:colOff>1083944</xdr:colOff>
      <xdr:row>33</xdr:row>
      <xdr:rowOff>38100</xdr:rowOff>
    </xdr:from>
    <xdr:to>
      <xdr:col>18</xdr:col>
      <xdr:colOff>1181100</xdr:colOff>
      <xdr:row>34</xdr:row>
      <xdr:rowOff>363855</xdr:rowOff>
    </xdr:to>
    <xdr:sp macro="" textlink="">
      <xdr:nvSpPr>
        <xdr:cNvPr id="7" name="Parenthèse fermante 6">
          <a:extLst>
            <a:ext uri="{FF2B5EF4-FFF2-40B4-BE49-F238E27FC236}">
              <a16:creationId xmlns:a16="http://schemas.microsoft.com/office/drawing/2014/main" id="{6B60AFC6-9CB8-4930-8399-779923165323}"/>
            </a:ext>
          </a:extLst>
        </xdr:cNvPr>
        <xdr:cNvSpPr/>
      </xdr:nvSpPr>
      <xdr:spPr>
        <a:xfrm>
          <a:off x="15609569" y="5143500"/>
          <a:ext cx="97156" cy="506730"/>
        </a:xfrm>
        <a:prstGeom prst="rightBracket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15</xdr:col>
      <xdr:colOff>278579</xdr:colOff>
      <xdr:row>9</xdr:row>
      <xdr:rowOff>52331</xdr:rowOff>
    </xdr:from>
    <xdr:to>
      <xdr:col>16</xdr:col>
      <xdr:colOff>704289</xdr:colOff>
      <xdr:row>14</xdr:row>
      <xdr:rowOff>18629</xdr:rowOff>
    </xdr:to>
    <xdr:pic>
      <xdr:nvPicPr>
        <xdr:cNvPr id="4" name="Image 3" descr="Une image contenant croquis, dessin, conception&#10;&#10;Le contenu généré par l’IA peut être incorrect.">
          <a:extLst>
            <a:ext uri="{FF2B5EF4-FFF2-40B4-BE49-F238E27FC236}">
              <a16:creationId xmlns:a16="http://schemas.microsoft.com/office/drawing/2014/main" id="{7FE7F087-9AB9-9163-DC76-DB988E1E1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2425755" y="1150507"/>
          <a:ext cx="1228948" cy="934038"/>
        </a:xfrm>
        <a:prstGeom prst="rect">
          <a:avLst/>
        </a:prstGeom>
      </xdr:spPr>
    </xdr:pic>
    <xdr:clientData/>
  </xdr:twoCellAnchor>
  <xdr:twoCellAnchor editAs="oneCell">
    <xdr:from>
      <xdr:col>15</xdr:col>
      <xdr:colOff>162821</xdr:colOff>
      <xdr:row>2</xdr:row>
      <xdr:rowOff>78815</xdr:rowOff>
    </xdr:from>
    <xdr:to>
      <xdr:col>16</xdr:col>
      <xdr:colOff>515470</xdr:colOff>
      <xdr:row>9</xdr:row>
      <xdr:rowOff>175036</xdr:rowOff>
    </xdr:to>
    <xdr:pic>
      <xdr:nvPicPr>
        <xdr:cNvPr id="8" name="Image 7" descr="Une image contenant croquis, dessin, conception&#10;&#10;Le contenu généré par l’IA peut être incorrect.">
          <a:extLst>
            <a:ext uri="{FF2B5EF4-FFF2-40B4-BE49-F238E27FC236}">
              <a16:creationId xmlns:a16="http://schemas.microsoft.com/office/drawing/2014/main" id="{4912F53F-AD44-E8F9-E0F4-CF1F4D07E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2309997" y="246903"/>
          <a:ext cx="1148267" cy="1026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373380</xdr:colOff>
      <xdr:row>19</xdr:row>
      <xdr:rowOff>154457</xdr:rowOff>
    </xdr:from>
    <xdr:to>
      <xdr:col>17</xdr:col>
      <xdr:colOff>84680</xdr:colOff>
      <xdr:row>29</xdr:row>
      <xdr:rowOff>61208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5B14A10-65C6-5C6D-AC94-38C2E97A1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574280" y="3629177"/>
          <a:ext cx="6051140" cy="1750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8B8A-8CC2-4BD9-A4D6-5ABDC9912E52}">
  <sheetPr codeName="Feuil1"/>
  <dimension ref="B1:W42"/>
  <sheetViews>
    <sheetView tabSelected="1" zoomScale="85" zoomScaleNormal="85" workbookViewId="0">
      <selection activeCell="D14" sqref="D14"/>
    </sheetView>
  </sheetViews>
  <sheetFormatPr baseColWidth="10" defaultRowHeight="14.4" x14ac:dyDescent="0.3"/>
  <cols>
    <col min="1" max="1" width="1.21875" style="79" customWidth="1"/>
    <col min="2" max="2" width="1.6640625" style="79" customWidth="1"/>
    <col min="3" max="3" width="26.21875" style="79" customWidth="1"/>
    <col min="4" max="4" width="16" style="79" customWidth="1"/>
    <col min="5" max="5" width="5.33203125" style="79" customWidth="1"/>
    <col min="6" max="6" width="7" style="79" customWidth="1"/>
    <col min="7" max="7" width="2.6640625" style="79" customWidth="1"/>
    <col min="8" max="8" width="38.77734375" style="79" customWidth="1"/>
    <col min="9" max="9" width="4.88671875" style="79" customWidth="1"/>
    <col min="10" max="10" width="15.44140625" style="79" customWidth="1"/>
    <col min="11" max="17" width="11.5546875" style="79"/>
    <col min="18" max="18" width="15.44140625" style="79" customWidth="1"/>
    <col min="19" max="19" width="18.21875" style="79" customWidth="1"/>
    <col min="20" max="20" width="9.44140625" style="79" customWidth="1"/>
    <col min="21" max="21" width="7.109375" style="79" customWidth="1"/>
    <col min="22" max="22" width="5" style="79" customWidth="1"/>
    <col min="23" max="23" width="3.77734375" style="79" customWidth="1"/>
    <col min="24" max="16384" width="11.5546875" style="79"/>
  </cols>
  <sheetData>
    <row r="1" spans="2:23" ht="6" customHeight="1" thickBot="1" x14ac:dyDescent="0.35"/>
    <row r="2" spans="2:23" ht="6.6" customHeight="1" thickTop="1" x14ac:dyDescent="0.3">
      <c r="B2" s="148" t="s">
        <v>170</v>
      </c>
      <c r="C2" s="149"/>
      <c r="D2" s="149"/>
      <c r="E2" s="149"/>
      <c r="F2" s="149"/>
      <c r="G2" s="149"/>
      <c r="H2" s="150"/>
      <c r="I2" s="80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2"/>
    </row>
    <row r="3" spans="2:23" ht="6.6" customHeight="1" x14ac:dyDescent="0.3">
      <c r="B3" s="151"/>
      <c r="C3" s="152"/>
      <c r="D3" s="152"/>
      <c r="E3" s="152"/>
      <c r="F3" s="152"/>
      <c r="G3" s="152"/>
      <c r="H3" s="153"/>
      <c r="I3" s="85"/>
      <c r="J3" s="142" t="s">
        <v>188</v>
      </c>
      <c r="K3" s="142"/>
      <c r="L3" s="142"/>
      <c r="M3" s="142"/>
      <c r="N3" s="142"/>
      <c r="O3" s="142"/>
      <c r="P3" s="86"/>
      <c r="W3" s="87"/>
    </row>
    <row r="4" spans="2:23" ht="6.6" customHeight="1" x14ac:dyDescent="0.3">
      <c r="B4" s="151"/>
      <c r="C4" s="152"/>
      <c r="D4" s="152"/>
      <c r="E4" s="152"/>
      <c r="F4" s="152"/>
      <c r="G4" s="152"/>
      <c r="H4" s="153"/>
      <c r="I4" s="85"/>
      <c r="J4" s="142"/>
      <c r="K4" s="142"/>
      <c r="L4" s="142"/>
      <c r="M4" s="142"/>
      <c r="N4" s="142"/>
      <c r="O4" s="142"/>
      <c r="P4" s="86"/>
      <c r="W4" s="87"/>
    </row>
    <row r="5" spans="2:23" ht="6.6" customHeight="1" x14ac:dyDescent="0.3">
      <c r="B5" s="151"/>
      <c r="C5" s="152"/>
      <c r="D5" s="152"/>
      <c r="E5" s="152"/>
      <c r="F5" s="152"/>
      <c r="G5" s="152"/>
      <c r="H5" s="153"/>
      <c r="I5" s="85"/>
      <c r="J5" s="142"/>
      <c r="K5" s="142"/>
      <c r="L5" s="142"/>
      <c r="M5" s="142"/>
      <c r="N5" s="142"/>
      <c r="O5" s="142"/>
      <c r="P5" s="86"/>
      <c r="W5" s="87"/>
    </row>
    <row r="6" spans="2:23" ht="6.6" customHeight="1" thickBot="1" x14ac:dyDescent="0.35">
      <c r="B6" s="154"/>
      <c r="C6" s="155"/>
      <c r="D6" s="155"/>
      <c r="E6" s="155"/>
      <c r="F6" s="155"/>
      <c r="G6" s="155"/>
      <c r="H6" s="156"/>
      <c r="I6" s="85"/>
      <c r="J6" s="142"/>
      <c r="K6" s="142"/>
      <c r="L6" s="142"/>
      <c r="M6" s="142"/>
      <c r="N6" s="142"/>
      <c r="O6" s="142"/>
      <c r="P6" s="86"/>
      <c r="W6" s="87"/>
    </row>
    <row r="7" spans="2:23" ht="15" customHeight="1" thickTop="1" x14ac:dyDescent="0.3">
      <c r="B7" s="83"/>
      <c r="C7" s="84"/>
      <c r="D7" s="84"/>
      <c r="E7" s="84"/>
      <c r="F7" s="84"/>
      <c r="G7" s="84"/>
      <c r="H7" s="84"/>
      <c r="I7" s="85"/>
      <c r="J7" s="157" t="s">
        <v>112</v>
      </c>
      <c r="K7" s="157"/>
      <c r="L7" s="157"/>
      <c r="M7" s="88" t="str">
        <f>_xlfn.CONCAT("+",ROUNDDOWN('Charges Admissibles'!B5,0),"Pa")</f>
        <v>+528Pa</v>
      </c>
      <c r="N7" s="89" t="str">
        <f>IF('Charges Admissibles'!G5=0,"(Pression max dépassée)","")</f>
        <v/>
      </c>
      <c r="W7" s="87"/>
    </row>
    <row r="8" spans="2:23" ht="15" customHeight="1" x14ac:dyDescent="0.3">
      <c r="B8" s="83"/>
      <c r="C8" s="142" t="s">
        <v>92</v>
      </c>
      <c r="D8" s="142"/>
      <c r="E8" s="142"/>
      <c r="F8" s="142"/>
      <c r="G8" s="142"/>
      <c r="H8" s="84"/>
      <c r="I8" s="85"/>
      <c r="J8" s="157" t="s">
        <v>106</v>
      </c>
      <c r="K8" s="157"/>
      <c r="L8" s="157"/>
      <c r="M8" s="88" t="str">
        <f>_xlfn.CONCAT(ROUNDDOWN('Charges Admissibles'!B7,0),"Pa")</f>
        <v>-278Pa</v>
      </c>
      <c r="N8" s="89" t="str">
        <f>IF('Charges Admissibles'!G7=0,"(Pression max dépassée)","")</f>
        <v/>
      </c>
      <c r="W8" s="87"/>
    </row>
    <row r="9" spans="2:23" ht="15" customHeight="1" x14ac:dyDescent="0.3">
      <c r="B9" s="83"/>
      <c r="C9" s="142"/>
      <c r="D9" s="142"/>
      <c r="E9" s="142"/>
      <c r="F9" s="142"/>
      <c r="G9" s="142"/>
      <c r="H9" s="84"/>
      <c r="I9" s="85"/>
      <c r="J9" s="157" t="s">
        <v>107</v>
      </c>
      <c r="K9" s="157"/>
      <c r="L9" s="157"/>
      <c r="M9" s="88" t="str">
        <f>_xlfn.CONCAT(ROUNDDOWN('Charges Admissibles'!B8,0),"Pa")</f>
        <v>-603Pa</v>
      </c>
      <c r="N9" s="89" t="str">
        <f>IF('Charges Admissibles'!G8=0,"(Pression max dépassée)","")</f>
        <v/>
      </c>
      <c r="W9" s="87"/>
    </row>
    <row r="10" spans="2:23" ht="15" customHeight="1" x14ac:dyDescent="0.3">
      <c r="B10" s="83"/>
      <c r="C10" s="116" t="s">
        <v>0</v>
      </c>
      <c r="D10" s="117" t="s">
        <v>8</v>
      </c>
      <c r="E10" s="118"/>
      <c r="F10" s="119"/>
      <c r="G10" s="158" t="s">
        <v>167</v>
      </c>
      <c r="H10" s="84"/>
      <c r="I10" s="85"/>
      <c r="J10" s="157" t="s">
        <v>108</v>
      </c>
      <c r="K10" s="157"/>
      <c r="L10" s="157"/>
      <c r="M10" s="88" t="str">
        <f>_xlfn.CONCAT(ROUNDDOWN('Charges Admissibles'!B9,0),"Pa")</f>
        <v>-953Pa</v>
      </c>
      <c r="N10" s="89" t="str">
        <f>IF('Charges Admissibles'!G9=0,"(Pression max dépassée)","")</f>
        <v/>
      </c>
      <c r="W10" s="87"/>
    </row>
    <row r="11" spans="2:23" ht="15" customHeight="1" x14ac:dyDescent="0.3">
      <c r="B11" s="83"/>
      <c r="C11" s="120" t="s">
        <v>1</v>
      </c>
      <c r="D11" s="75" t="s">
        <v>24</v>
      </c>
      <c r="F11" s="84"/>
      <c r="G11" s="159"/>
      <c r="H11" s="84"/>
      <c r="I11" s="85"/>
      <c r="J11" s="86"/>
      <c r="K11" s="86"/>
      <c r="L11" s="86"/>
      <c r="M11" s="86"/>
      <c r="N11" s="86"/>
      <c r="W11" s="87"/>
    </row>
    <row r="12" spans="2:23" ht="15" customHeight="1" x14ac:dyDescent="0.3">
      <c r="B12" s="83"/>
      <c r="C12" s="121" t="s">
        <v>2</v>
      </c>
      <c r="D12" s="125" t="s">
        <v>51</v>
      </c>
      <c r="E12" s="122"/>
      <c r="F12" s="123"/>
      <c r="G12" s="160"/>
      <c r="H12" s="84"/>
      <c r="I12" s="85"/>
      <c r="J12" s="86"/>
      <c r="K12" s="86"/>
      <c r="L12" s="86"/>
      <c r="M12" s="86"/>
      <c r="N12" s="86"/>
      <c r="W12" s="87"/>
    </row>
    <row r="13" spans="2:23" ht="15" customHeight="1" x14ac:dyDescent="0.3">
      <c r="B13" s="83"/>
      <c r="C13" s="79" t="s">
        <v>3</v>
      </c>
      <c r="D13" s="76">
        <v>300</v>
      </c>
      <c r="E13" s="79" t="s">
        <v>116</v>
      </c>
      <c r="F13" s="84"/>
      <c r="G13" s="124"/>
      <c r="H13" s="84"/>
      <c r="I13" s="85"/>
      <c r="J13" s="131"/>
      <c r="K13" s="131"/>
      <c r="L13" s="131"/>
      <c r="M13" s="131"/>
      <c r="W13" s="87"/>
    </row>
    <row r="14" spans="2:23" ht="15" customHeight="1" x14ac:dyDescent="0.3">
      <c r="B14" s="83"/>
      <c r="C14" s="79" t="s">
        <v>164</v>
      </c>
      <c r="D14" s="76">
        <v>0</v>
      </c>
      <c r="E14" s="79" t="s">
        <v>166</v>
      </c>
      <c r="F14" s="84"/>
      <c r="G14" s="84"/>
      <c r="H14" s="84"/>
      <c r="I14" s="85"/>
      <c r="J14" s="142" t="s">
        <v>101</v>
      </c>
      <c r="K14" s="142"/>
      <c r="L14" s="142"/>
      <c r="M14" s="142"/>
      <c r="N14" s="142"/>
      <c r="W14" s="87"/>
    </row>
    <row r="15" spans="2:23" ht="15" customHeight="1" thickBot="1" x14ac:dyDescent="0.35">
      <c r="B15" s="83"/>
      <c r="C15" s="79" t="s">
        <v>165</v>
      </c>
      <c r="D15" s="76">
        <v>0</v>
      </c>
      <c r="E15" s="79" t="s">
        <v>166</v>
      </c>
      <c r="F15" s="84"/>
      <c r="G15" s="84"/>
      <c r="H15" s="84"/>
      <c r="I15" s="85"/>
      <c r="J15" s="142"/>
      <c r="K15" s="142"/>
      <c r="L15" s="142"/>
      <c r="M15" s="142"/>
      <c r="N15" s="142"/>
      <c r="W15" s="87"/>
    </row>
    <row r="16" spans="2:23" ht="15" customHeight="1" thickTop="1" x14ac:dyDescent="0.3">
      <c r="B16" s="83"/>
      <c r="C16" s="84"/>
      <c r="D16" s="84"/>
      <c r="E16" s="84"/>
      <c r="F16" s="84"/>
      <c r="G16" s="84"/>
      <c r="H16" s="84"/>
      <c r="I16" s="85"/>
      <c r="J16" s="90" t="s">
        <v>109</v>
      </c>
      <c r="K16" s="79">
        <f>ROUNDDOWN((IF(J20="Impossible d'installer PRIMA",D20-2*'Charges Admissibles'!B13,Données!D20)*1000 + 10)/(D30+10),0)</f>
        <v>11</v>
      </c>
      <c r="L16" s="79" t="str">
        <f>IF(K16=1,"Horizontal","Horizontaux")</f>
        <v>Horizontaux</v>
      </c>
      <c r="M16" s="79">
        <f>ROUNDDOWN(((Vent!B24-MAX('Charges Admissibles'!B11,'Charges Admissibles'!B12))*1000 + 14-170)/(D31+14),0)</f>
        <v>7</v>
      </c>
      <c r="N16" s="79" t="str">
        <f>IF(M16=1,"Vertical","Verticaux")</f>
        <v>Verticaux</v>
      </c>
      <c r="O16" s="164" t="str">
        <f>_xlfn.CONCAT("Total = ",K16*M16+K17*M17," modules par rampant, soit ",ROUNDDOWN((K16*M16+K17*M17)*D34/1000,1),"kWc")</f>
        <v>Total = 88 modules par rampant, soit 35,2kWc</v>
      </c>
      <c r="P16" s="164"/>
      <c r="Q16" s="115"/>
      <c r="R16" s="168" t="str">
        <f>_xlfn.CONCAT("Il vous faut ",ROUNDUP(SUM(T26,U26,T34,U34)/'Charges Admissibles'!A23,0)*U20," cartons PRIMA+ pour réaliser ce projet")</f>
        <v>Il vous faut 6 cartons PRIMA+ pour réaliser ce projet</v>
      </c>
      <c r="S16" s="169"/>
      <c r="T16" s="169"/>
      <c r="U16" s="170"/>
      <c r="W16" s="87"/>
    </row>
    <row r="17" spans="2:23" ht="13.8" customHeight="1" thickBot="1" x14ac:dyDescent="0.35">
      <c r="B17" s="85"/>
      <c r="C17" s="142" t="s">
        <v>93</v>
      </c>
      <c r="D17" s="142"/>
      <c r="E17" s="142"/>
      <c r="F17" s="86"/>
      <c r="G17" s="86"/>
      <c r="I17" s="85"/>
      <c r="J17" s="90" t="s">
        <v>110</v>
      </c>
      <c r="K17" s="79">
        <f>IF(K34="Impossible d'installer PRIMA",0,IF(J34="Impossible d'installer PRIMA",K16-2*ROUNDUP(('Charges Admissibles'!B13-(((IF(J20="Impossible d'installer PRIMA",D20-2*'Charges Admissibles'!B13,Données!D20))-K16*D30/1000)/2))/(D30/1000),0),K16))</f>
        <v>11</v>
      </c>
      <c r="L17" s="79" t="str">
        <f>IF(K17=1,"Horizontal","Horizontaux")</f>
        <v>Horizontaux</v>
      </c>
      <c r="M17" s="79">
        <f>ROUNDDOWN(((('Charges Admissibles'!B12-'Charges Admissibles'!B11))*1000 + 14-170/2)/(D31+14),0)</f>
        <v>1</v>
      </c>
      <c r="N17" s="79" t="str">
        <f>IF(M17=1,"Vertical","Verticaux")</f>
        <v>Vertical</v>
      </c>
      <c r="O17" s="164"/>
      <c r="P17" s="164"/>
      <c r="Q17" s="115"/>
      <c r="R17" s="171"/>
      <c r="S17" s="172"/>
      <c r="T17" s="172"/>
      <c r="U17" s="173"/>
      <c r="W17" s="87"/>
    </row>
    <row r="18" spans="2:23" ht="13.8" customHeight="1" thickTop="1" x14ac:dyDescent="0.3">
      <c r="B18" s="85"/>
      <c r="C18" s="142"/>
      <c r="D18" s="142"/>
      <c r="E18" s="142"/>
      <c r="F18" s="86"/>
      <c r="G18" s="86"/>
      <c r="I18" s="85"/>
      <c r="J18" s="143" t="str">
        <f>IF(K20="Impossible d'installer PRIMA","Aucun panneau ne peut etre installé","")</f>
        <v/>
      </c>
      <c r="K18" s="143"/>
      <c r="L18" s="143"/>
      <c r="M18" s="143"/>
      <c r="O18" s="91"/>
      <c r="W18" s="87"/>
    </row>
    <row r="19" spans="2:23" ht="15" customHeight="1" thickBot="1" x14ac:dyDescent="0.35">
      <c r="B19" s="85"/>
      <c r="C19" s="79" t="s">
        <v>117</v>
      </c>
      <c r="D19" s="77">
        <v>10</v>
      </c>
      <c r="E19" s="79" t="s">
        <v>32</v>
      </c>
      <c r="I19" s="92" t="s">
        <v>100</v>
      </c>
      <c r="J19" s="93" t="str">
        <f>_xlfn.CONCAT(ROUNDDOWN('Charges Admissibles'!B12,2),"m")</f>
        <v>2m</v>
      </c>
      <c r="K19" s="94"/>
      <c r="L19" s="94"/>
      <c r="M19" s="94"/>
      <c r="N19" s="94"/>
      <c r="O19" s="94"/>
      <c r="P19" s="94"/>
      <c r="Q19" s="95"/>
      <c r="R19" s="94" t="str">
        <f>_xlfn.CONCAT(ROUND(D20-'Charges Admissibles'!B13,2),"m")</f>
        <v>18m</v>
      </c>
      <c r="S19" s="96" t="str">
        <f>_xlfn.CONCAT(D20,"m")</f>
        <v>20m</v>
      </c>
      <c r="W19" s="87"/>
    </row>
    <row r="20" spans="2:23" ht="15" thickTop="1" x14ac:dyDescent="0.3">
      <c r="B20" s="85"/>
      <c r="C20" s="79" t="s">
        <v>118</v>
      </c>
      <c r="D20" s="77">
        <v>20</v>
      </c>
      <c r="E20" s="79" t="s">
        <v>32</v>
      </c>
      <c r="I20" s="85"/>
      <c r="J20" s="195" t="str">
        <f>'Charges Admissibles'!I13</f>
        <v>Possible avec 2 short rails*</v>
      </c>
      <c r="K20" s="193" t="str">
        <f>'Charges Admissibles'!I12</f>
        <v>Possible avec 2 short rails*</v>
      </c>
      <c r="L20" s="193"/>
      <c r="M20" s="193"/>
      <c r="N20" s="193"/>
      <c r="O20" s="193"/>
      <c r="P20" s="193"/>
      <c r="Q20" s="193"/>
      <c r="R20" s="197" t="str">
        <f>J20</f>
        <v>Possible avec 2 short rails*</v>
      </c>
      <c r="S20" s="97" t="str">
        <f>_xlfn.CONCAT(ROUNDDOWN(Vent!B24,2),"m (faitage)")</f>
        <v>10,19m (faitage)</v>
      </c>
      <c r="T20" s="98"/>
      <c r="U20" s="103">
        <f>IF(D23="2 rampants",IF(D27="2 rampants",2,1),1)</f>
        <v>1</v>
      </c>
      <c r="W20" s="87"/>
    </row>
    <row r="21" spans="2:23" ht="14.4" customHeight="1" x14ac:dyDescent="0.3">
      <c r="B21" s="85"/>
      <c r="C21" s="79" t="s">
        <v>119</v>
      </c>
      <c r="D21" s="77">
        <v>20</v>
      </c>
      <c r="E21" s="79" t="s">
        <v>32</v>
      </c>
      <c r="I21" s="85"/>
      <c r="J21" s="196"/>
      <c r="K21" s="193"/>
      <c r="L21" s="193"/>
      <c r="M21" s="193"/>
      <c r="N21" s="193"/>
      <c r="O21" s="193"/>
      <c r="P21" s="193"/>
      <c r="Q21" s="193"/>
      <c r="R21" s="198"/>
      <c r="S21" s="98"/>
      <c r="U21" s="99"/>
      <c r="V21" s="99"/>
      <c r="W21" s="100"/>
    </row>
    <row r="22" spans="2:23" x14ac:dyDescent="0.3">
      <c r="B22" s="85"/>
      <c r="C22" s="79" t="s">
        <v>120</v>
      </c>
      <c r="D22" s="77">
        <v>20</v>
      </c>
      <c r="E22" s="76" t="s">
        <v>68</v>
      </c>
      <c r="F22" s="101">
        <f>IF(E22="%",DEGREES(ATAN(D22/100)),100*TAN(RADIANS(D22)))</f>
        <v>11.309932474020215</v>
      </c>
      <c r="G22" s="79" t="str">
        <f>IF(E22="%","°","%")</f>
        <v>°</v>
      </c>
      <c r="H22" s="79" t="s">
        <v>159</v>
      </c>
      <c r="I22" s="85"/>
      <c r="J22" s="196"/>
      <c r="K22" s="193"/>
      <c r="L22" s="193"/>
      <c r="M22" s="193"/>
      <c r="N22" s="193"/>
      <c r="O22" s="193"/>
      <c r="P22" s="193"/>
      <c r="Q22" s="193"/>
      <c r="R22" s="198"/>
      <c r="S22" s="98"/>
      <c r="T22" s="99"/>
      <c r="U22" s="99"/>
      <c r="V22" s="99"/>
      <c r="W22" s="100"/>
    </row>
    <row r="23" spans="2:23" ht="14.4" customHeight="1" x14ac:dyDescent="0.3">
      <c r="B23" s="85"/>
      <c r="C23" s="79" t="s">
        <v>168</v>
      </c>
      <c r="D23" s="77" t="s">
        <v>98</v>
      </c>
      <c r="E23" s="101"/>
      <c r="F23" s="101"/>
      <c r="I23" s="85"/>
      <c r="J23" s="196"/>
      <c r="K23" s="193"/>
      <c r="L23" s="193"/>
      <c r="M23" s="193"/>
      <c r="N23" s="193"/>
      <c r="O23" s="193"/>
      <c r="P23" s="193"/>
      <c r="Q23" s="193"/>
      <c r="R23" s="198"/>
      <c r="T23" s="99"/>
      <c r="U23" s="99"/>
      <c r="V23" s="99"/>
      <c r="W23" s="100"/>
    </row>
    <row r="24" spans="2:23" x14ac:dyDescent="0.3">
      <c r="B24" s="85"/>
      <c r="C24" s="79" t="s">
        <v>121</v>
      </c>
      <c r="D24" s="77">
        <v>1.5</v>
      </c>
      <c r="E24" s="79" t="s">
        <v>32</v>
      </c>
      <c r="I24" s="85"/>
      <c r="J24" s="196"/>
      <c r="K24" s="193"/>
      <c r="L24" s="193"/>
      <c r="M24" s="193"/>
      <c r="N24" s="193"/>
      <c r="O24" s="193"/>
      <c r="P24" s="193"/>
      <c r="Q24" s="193"/>
      <c r="R24" s="198"/>
      <c r="S24" s="102"/>
      <c r="T24" s="127"/>
      <c r="U24" s="127"/>
      <c r="V24" s="128"/>
      <c r="W24" s="100"/>
    </row>
    <row r="25" spans="2:23" x14ac:dyDescent="0.3">
      <c r="B25" s="85"/>
      <c r="C25" s="79" t="s">
        <v>122</v>
      </c>
      <c r="D25" s="77" t="s">
        <v>73</v>
      </c>
      <c r="I25" s="85"/>
      <c r="J25" s="196"/>
      <c r="K25" s="193"/>
      <c r="L25" s="193"/>
      <c r="M25" s="193"/>
      <c r="N25" s="193"/>
      <c r="O25" s="193"/>
      <c r="P25" s="193"/>
      <c r="Q25" s="193"/>
      <c r="R25" s="198"/>
      <c r="S25" s="102"/>
      <c r="T25" s="103">
        <f>IF(J20="impossible d'installer PRIMA",0,ROUNDUP((K16*D30-(D20-2*'Charges Admissibles'!B13)*1000)/D30,0))</f>
        <v>2</v>
      </c>
      <c r="U25" s="103">
        <f>K16-T25</f>
        <v>9</v>
      </c>
      <c r="V25" s="104" t="s">
        <v>113</v>
      </c>
      <c r="W25" s="100"/>
    </row>
    <row r="26" spans="2:23" x14ac:dyDescent="0.3">
      <c r="B26" s="85"/>
      <c r="C26" s="79" t="s">
        <v>125</v>
      </c>
      <c r="D26" s="75" t="s">
        <v>160</v>
      </c>
      <c r="I26" s="85"/>
      <c r="J26" s="196"/>
      <c r="K26" s="193"/>
      <c r="L26" s="193"/>
      <c r="M26" s="193"/>
      <c r="N26" s="193"/>
      <c r="O26" s="193"/>
      <c r="P26" s="193"/>
      <c r="Q26" s="193"/>
      <c r="R26" s="198"/>
      <c r="S26" s="102"/>
      <c r="T26" s="103">
        <f>IF('Charges Admissibles'!E8*'Charges Admissibles'!E5=1,Données!T25*(Données!M16+1)*2,IF('Charges Admissibles'!G8*'Charges Admissibles'!G5=1,Données!T25*(Données!M16+1)*3,0))</f>
        <v>32</v>
      </c>
      <c r="U26" s="103">
        <f>IF('Charges Admissibles'!E7*'Charges Admissibles'!E5=1,Données!U25*(Données!M16+1)*2,IF('Charges Admissibles'!G7*'Charges Admissibles'!G5=1,Données!U25*(Données!M16+1)*3,0))</f>
        <v>144</v>
      </c>
      <c r="V26" s="105" t="s">
        <v>114</v>
      </c>
      <c r="W26" s="100"/>
    </row>
    <row r="27" spans="2:23" ht="14.4" customHeight="1" x14ac:dyDescent="0.3">
      <c r="B27" s="85"/>
      <c r="C27" s="79" t="s">
        <v>169</v>
      </c>
      <c r="D27" s="77" t="s">
        <v>97</v>
      </c>
      <c r="E27" s="86"/>
      <c r="F27" s="86"/>
      <c r="G27" s="86"/>
      <c r="I27" s="85"/>
      <c r="J27" s="196"/>
      <c r="K27" s="193"/>
      <c r="L27" s="193"/>
      <c r="M27" s="193"/>
      <c r="N27" s="193"/>
      <c r="O27" s="193"/>
      <c r="P27" s="193"/>
      <c r="Q27" s="193"/>
      <c r="R27" s="198"/>
      <c r="S27" s="102"/>
      <c r="T27" s="165" t="s">
        <v>104</v>
      </c>
      <c r="U27" s="165"/>
      <c r="V27" s="165"/>
      <c r="W27" s="166"/>
    </row>
    <row r="28" spans="2:23" ht="14.4" customHeight="1" x14ac:dyDescent="0.3">
      <c r="B28" s="85"/>
      <c r="C28" s="142" t="s">
        <v>94</v>
      </c>
      <c r="D28" s="142"/>
      <c r="E28" s="142"/>
      <c r="F28" s="142"/>
      <c r="G28" s="142"/>
      <c r="H28" s="163"/>
      <c r="I28" s="85"/>
      <c r="J28" s="196"/>
      <c r="K28" s="193"/>
      <c r="L28" s="193"/>
      <c r="M28" s="193"/>
      <c r="N28" s="193"/>
      <c r="O28" s="193"/>
      <c r="P28" s="193"/>
      <c r="Q28" s="193"/>
      <c r="R28" s="198"/>
      <c r="S28" s="102"/>
      <c r="T28" s="99"/>
      <c r="U28" s="99"/>
      <c r="V28" s="99"/>
      <c r="W28" s="100"/>
    </row>
    <row r="29" spans="2:23" ht="14.4" customHeight="1" x14ac:dyDescent="0.3">
      <c r="B29" s="85"/>
      <c r="C29" s="142"/>
      <c r="D29" s="142"/>
      <c r="E29" s="142"/>
      <c r="F29" s="142"/>
      <c r="G29" s="142"/>
      <c r="H29" s="163"/>
      <c r="I29" s="85"/>
      <c r="J29" s="196"/>
      <c r="K29" s="193"/>
      <c r="L29" s="193"/>
      <c r="M29" s="193"/>
      <c r="N29" s="193"/>
      <c r="O29" s="193"/>
      <c r="P29" s="193"/>
      <c r="Q29" s="193"/>
      <c r="R29" s="198"/>
      <c r="S29" s="102"/>
      <c r="T29" s="99"/>
      <c r="U29" s="99"/>
      <c r="V29" s="99"/>
      <c r="W29" s="100"/>
    </row>
    <row r="30" spans="2:23" ht="14.4" customHeight="1" x14ac:dyDescent="0.3">
      <c r="B30" s="85"/>
      <c r="C30" s="79" t="s">
        <v>123</v>
      </c>
      <c r="D30" s="75">
        <v>1762</v>
      </c>
      <c r="E30" s="79" t="s">
        <v>158</v>
      </c>
      <c r="F30" s="86"/>
      <c r="I30" s="85"/>
      <c r="J30" s="196"/>
      <c r="K30" s="193"/>
      <c r="L30" s="193"/>
      <c r="M30" s="193"/>
      <c r="N30" s="193"/>
      <c r="O30" s="193"/>
      <c r="P30" s="193"/>
      <c r="Q30" s="193"/>
      <c r="R30" s="198"/>
      <c r="S30" s="98"/>
      <c r="T30" s="99"/>
      <c r="U30" s="99"/>
      <c r="V30" s="99"/>
      <c r="W30" s="100"/>
    </row>
    <row r="31" spans="2:23" x14ac:dyDescent="0.3">
      <c r="B31" s="85"/>
      <c r="C31" s="79" t="s">
        <v>124</v>
      </c>
      <c r="D31" s="75">
        <v>1134</v>
      </c>
      <c r="E31" s="79" t="s">
        <v>158</v>
      </c>
      <c r="I31" s="85"/>
      <c r="J31" s="196"/>
      <c r="K31" s="193"/>
      <c r="L31" s="193"/>
      <c r="M31" s="193"/>
      <c r="N31" s="193"/>
      <c r="O31" s="193"/>
      <c r="P31" s="193"/>
      <c r="Q31" s="193"/>
      <c r="R31" s="198"/>
      <c r="S31" s="98"/>
      <c r="T31" s="99"/>
      <c r="U31" s="99"/>
      <c r="V31" s="99"/>
      <c r="W31" s="100"/>
    </row>
    <row r="32" spans="2:23" x14ac:dyDescent="0.3">
      <c r="B32" s="85"/>
      <c r="C32" s="79" t="s">
        <v>5</v>
      </c>
      <c r="D32" s="75">
        <v>20</v>
      </c>
      <c r="E32" s="79" t="s">
        <v>37</v>
      </c>
      <c r="I32" s="85"/>
      <c r="J32" s="196"/>
      <c r="K32" s="193"/>
      <c r="L32" s="193"/>
      <c r="M32" s="193"/>
      <c r="N32" s="193"/>
      <c r="O32" s="193"/>
      <c r="P32" s="193"/>
      <c r="Q32" s="193"/>
      <c r="R32" s="198"/>
      <c r="S32" s="98"/>
      <c r="T32" s="99"/>
      <c r="U32" s="99"/>
      <c r="V32" s="99"/>
      <c r="W32" s="100"/>
    </row>
    <row r="33" spans="2:23" x14ac:dyDescent="0.3">
      <c r="B33" s="85"/>
      <c r="C33" s="79" t="s">
        <v>6</v>
      </c>
      <c r="D33" s="91" t="s">
        <v>7</v>
      </c>
      <c r="I33" s="85"/>
      <c r="J33" s="185"/>
      <c r="K33" s="194"/>
      <c r="L33" s="194"/>
      <c r="M33" s="194"/>
      <c r="N33" s="194"/>
      <c r="O33" s="194"/>
      <c r="P33" s="194"/>
      <c r="Q33" s="194"/>
      <c r="R33" s="187"/>
      <c r="S33" s="161" t="str">
        <f>_xlfn.CONCAT(ROUNDDOWN(MAX('Charges Admissibles'!B11:B12),2),"m")</f>
        <v>2m</v>
      </c>
      <c r="T33" s="103">
        <f>IF(J34="impossible d'installer PRIMA",0,ROUNDUP((K17*D30-(D20-2*'Charges Admissibles'!B13)*1000)/D30,0))</f>
        <v>2</v>
      </c>
      <c r="U33" s="103">
        <f>K17-T33</f>
        <v>9</v>
      </c>
      <c r="V33" s="104" t="s">
        <v>113</v>
      </c>
      <c r="W33" s="87"/>
    </row>
    <row r="34" spans="2:23" ht="14.4" customHeight="1" x14ac:dyDescent="0.3">
      <c r="B34" s="85"/>
      <c r="C34" s="79" t="s">
        <v>102</v>
      </c>
      <c r="D34" s="76">
        <v>400</v>
      </c>
      <c r="E34" s="79" t="s">
        <v>103</v>
      </c>
      <c r="I34" s="85"/>
      <c r="J34" s="184" t="str">
        <f>IF('Charges Admissibles'!B12&gt;'Charges Admissibles'!B11,'Charges Admissibles'!I14,"Impossible d'installer PRIMA")</f>
        <v>Possible avec 2 short rails</v>
      </c>
      <c r="K34" s="188" t="str">
        <f>IF('Charges Admissibles'!B12&gt;'Charges Admissibles'!B11,'Charges Admissibles'!I13,"Impossible d'installer PRIMA")</f>
        <v>Possible avec 2 short rails*</v>
      </c>
      <c r="L34" s="176"/>
      <c r="M34" s="176"/>
      <c r="N34" s="176"/>
      <c r="O34" s="176"/>
      <c r="P34" s="176"/>
      <c r="Q34" s="189"/>
      <c r="R34" s="186" t="str">
        <f>J34</f>
        <v>Possible avec 2 short rails</v>
      </c>
      <c r="S34" s="162"/>
      <c r="T34" s="103">
        <f>IF('Charges Admissibles'!E9*'Charges Admissibles'!E5=1,T33*(M17)*2,IF('Charges Admissibles'!G9*'Charges Admissibles'!G5=1,IF('Charges Admissibles'!E7*'Charges Admissibles'!E5=1,Données!T33*(Données!M17)*3+T33,T33*(M17)*3),0))</f>
        <v>4</v>
      </c>
      <c r="U34" s="103">
        <f>IF('Charges Admissibles'!E8*'Charges Admissibles'!E5=1,Données!U33*(Données!M17)*2,IF('Charges Admissibles'!G8*'Charges Admissibles'!G5=1,IF('Charges Admissibles'!E7*'Charges Admissibles'!E5=1,Données!U33*(Données!M17)*3+U33,Données!U33*(Données!M17)*3),0))</f>
        <v>18</v>
      </c>
      <c r="V34" s="105" t="s">
        <v>114</v>
      </c>
      <c r="W34" s="100"/>
    </row>
    <row r="35" spans="2:23" ht="31.8" customHeight="1" x14ac:dyDescent="0.3">
      <c r="B35" s="85"/>
      <c r="C35" s="144" t="s">
        <v>184</v>
      </c>
      <c r="D35" s="144"/>
      <c r="E35" s="144"/>
      <c r="F35" s="144"/>
      <c r="G35" s="144"/>
      <c r="H35" s="145"/>
      <c r="I35" s="85"/>
      <c r="J35" s="185"/>
      <c r="K35" s="190"/>
      <c r="L35" s="191"/>
      <c r="M35" s="191"/>
      <c r="N35" s="191"/>
      <c r="O35" s="191"/>
      <c r="P35" s="191"/>
      <c r="Q35" s="192"/>
      <c r="R35" s="187"/>
      <c r="S35" s="174" t="str">
        <f>IF(D13&lt;500,"0m (basse goutte)",_xlfn.CONCAT(ROUNDDOWN(MIN('Charges Admissibles'!B11:B12),2),"m (limite neige)"))</f>
        <v>0m (basse goutte)</v>
      </c>
      <c r="T35" s="167" t="s">
        <v>105</v>
      </c>
      <c r="U35" s="167"/>
      <c r="V35" s="99"/>
      <c r="W35" s="100"/>
    </row>
    <row r="36" spans="2:23" ht="14.4" customHeight="1" x14ac:dyDescent="0.3">
      <c r="B36" s="85"/>
      <c r="C36" s="106" t="s">
        <v>111</v>
      </c>
      <c r="I36" s="85"/>
      <c r="J36" s="175" t="str">
        <f>IF(D13&lt;500,"",IF('Charges Admissibles'!B11=0,'Charges Admissibles'!I13,"Impossible d'installer PRIMA"))</f>
        <v/>
      </c>
      <c r="K36" s="176"/>
      <c r="L36" s="176"/>
      <c r="M36" s="176"/>
      <c r="N36" s="176"/>
      <c r="O36" s="176"/>
      <c r="P36" s="176"/>
      <c r="Q36" s="176"/>
      <c r="R36" s="177"/>
      <c r="S36" s="174"/>
      <c r="T36" s="107"/>
      <c r="U36" s="107"/>
      <c r="W36" s="87"/>
    </row>
    <row r="37" spans="2:23" x14ac:dyDescent="0.3">
      <c r="B37" s="85"/>
      <c r="C37" s="146" t="s">
        <v>185</v>
      </c>
      <c r="D37" s="146"/>
      <c r="E37" s="146"/>
      <c r="F37" s="146"/>
      <c r="G37" s="146"/>
      <c r="H37" s="147"/>
      <c r="I37" s="85"/>
      <c r="J37" s="178"/>
      <c r="K37" s="179"/>
      <c r="L37" s="179"/>
      <c r="M37" s="179"/>
      <c r="N37" s="179"/>
      <c r="O37" s="179"/>
      <c r="P37" s="179"/>
      <c r="Q37" s="179"/>
      <c r="R37" s="180"/>
      <c r="W37" s="87"/>
    </row>
    <row r="38" spans="2:23" ht="15" thickBot="1" x14ac:dyDescent="0.35">
      <c r="B38" s="85"/>
      <c r="C38" s="106" t="s">
        <v>187</v>
      </c>
      <c r="I38" s="85"/>
      <c r="J38" s="181"/>
      <c r="K38" s="182"/>
      <c r="L38" s="182"/>
      <c r="M38" s="182"/>
      <c r="N38" s="182"/>
      <c r="O38" s="182"/>
      <c r="P38" s="182"/>
      <c r="Q38" s="182"/>
      <c r="R38" s="183"/>
      <c r="S38" s="98" t="str">
        <f>IF(D13&lt;500,"","0m (basse goutte)")</f>
        <v/>
      </c>
      <c r="W38" s="87"/>
    </row>
    <row r="39" spans="2:23" ht="15" thickTop="1" x14ac:dyDescent="0.3">
      <c r="B39" s="85"/>
      <c r="C39" s="106" t="s">
        <v>197</v>
      </c>
      <c r="I39" s="85"/>
      <c r="J39" s="98"/>
      <c r="K39" s="98"/>
      <c r="L39" s="98"/>
      <c r="M39" s="98"/>
      <c r="N39" s="98"/>
      <c r="O39" s="98"/>
      <c r="P39" s="98"/>
      <c r="Q39" s="98"/>
      <c r="R39" s="98"/>
      <c r="S39" s="98"/>
      <c r="W39" s="87"/>
    </row>
    <row r="40" spans="2:23" x14ac:dyDescent="0.3">
      <c r="B40" s="85"/>
      <c r="C40" s="106"/>
      <c r="I40" s="85"/>
      <c r="J40" s="98"/>
      <c r="K40" s="130" t="str">
        <f>IF('Charges Admissibles'!H36&lt;&gt; "", "*" &amp; 'Charges Admissibles'!H36,"")</f>
        <v>*(PRIMA+ avec 2 vis aux extrémités possible)</v>
      </c>
      <c r="L40" s="98"/>
      <c r="M40" s="98"/>
      <c r="N40" s="98"/>
      <c r="O40" s="98"/>
      <c r="P40" s="98"/>
      <c r="Q40" s="98"/>
      <c r="R40" s="98"/>
      <c r="S40" s="98"/>
      <c r="W40" s="87"/>
    </row>
    <row r="41" spans="2:23" ht="15" thickBot="1" x14ac:dyDescent="0.35">
      <c r="B41" s="108"/>
      <c r="C41" s="114"/>
      <c r="D41" s="109"/>
      <c r="E41" s="109"/>
      <c r="F41" s="109"/>
      <c r="G41" s="109"/>
      <c r="H41" s="109"/>
      <c r="I41" s="108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26" t="s">
        <v>183</v>
      </c>
      <c r="U41" s="109"/>
      <c r="V41" s="109"/>
      <c r="W41" s="110"/>
    </row>
    <row r="42" spans="2:23" ht="15" thickTop="1" x14ac:dyDescent="0.3"/>
  </sheetData>
  <sheetProtection algorithmName="SHA-512" hashValue="CwF6q84TbETJTBUZVnamH8jmuAc8yzCoHQAIgFtmK3BKQuqHUh4FGWw86vThgYYwxZ9sMeXejHgi9DdhCmjWHg==" saltValue="V7tZzXuPCx0OXyl0KGgVRg==" spinCount="100000" sheet="1" selectLockedCells="1"/>
  <mergeCells count="27">
    <mergeCell ref="S33:S34"/>
    <mergeCell ref="C28:H29"/>
    <mergeCell ref="O16:P17"/>
    <mergeCell ref="T27:W27"/>
    <mergeCell ref="T35:U35"/>
    <mergeCell ref="R16:U17"/>
    <mergeCell ref="S35:S36"/>
    <mergeCell ref="J36:R38"/>
    <mergeCell ref="J34:J35"/>
    <mergeCell ref="R34:R35"/>
    <mergeCell ref="K34:Q35"/>
    <mergeCell ref="K20:Q33"/>
    <mergeCell ref="J20:J33"/>
    <mergeCell ref="R20:R33"/>
    <mergeCell ref="C17:E18"/>
    <mergeCell ref="J3:O6"/>
    <mergeCell ref="J18:M18"/>
    <mergeCell ref="J14:N15"/>
    <mergeCell ref="C35:H35"/>
    <mergeCell ref="C37:H37"/>
    <mergeCell ref="B2:H6"/>
    <mergeCell ref="C8:G9"/>
    <mergeCell ref="J7:L7"/>
    <mergeCell ref="J8:L8"/>
    <mergeCell ref="J9:L9"/>
    <mergeCell ref="J10:L10"/>
    <mergeCell ref="G10:G12"/>
  </mergeCells>
  <conditionalFormatting sqref="C27:D27">
    <cfRule type="expression" dxfId="18" priority="1">
      <formula>AND($D$23="1 rampant")</formula>
    </cfRule>
  </conditionalFormatting>
  <conditionalFormatting sqref="D10:D11">
    <cfRule type="expression" dxfId="17" priority="2">
      <formula>AND($D$14&gt;0)</formula>
    </cfRule>
  </conditionalFormatting>
  <conditionalFormatting sqref="D12">
    <cfRule type="expression" dxfId="16" priority="3">
      <formula>AND($D$15&gt;0)</formula>
    </cfRule>
  </conditionalFormatting>
  <conditionalFormatting sqref="J17:N17">
    <cfRule type="expression" dxfId="15" priority="7">
      <formula>AND($K$17*$M$17=0)</formula>
    </cfRule>
  </conditionalFormatting>
  <conditionalFormatting sqref="J16:O16 J17:N17">
    <cfRule type="expression" dxfId="14" priority="8">
      <formula>AND($K$20="Impossible d'installer PRIMA")</formula>
    </cfRule>
  </conditionalFormatting>
  <conditionalFormatting sqref="J16:O16">
    <cfRule type="expression" dxfId="13" priority="9">
      <formula>AND($K$16*$M$16=0)</formula>
    </cfRule>
  </conditionalFormatting>
  <conditionalFormatting sqref="J20:R35 J36">
    <cfRule type="containsText" dxfId="12" priority="11" operator="containsText" text="Impossible">
      <formula>NOT(ISERROR(SEARCH("Impossible",J20)))</formula>
    </cfRule>
    <cfRule type="containsText" dxfId="11" priority="12" operator="containsText" text="3">
      <formula>NOT(ISERROR(SEARCH("3",J20)))</formula>
    </cfRule>
    <cfRule type="containsText" dxfId="10" priority="13" operator="containsText" text="2">
      <formula>NOT(ISERROR(SEARCH("2",J20)))</formula>
    </cfRule>
  </conditionalFormatting>
  <conditionalFormatting sqref="J36:R38">
    <cfRule type="expression" dxfId="9" priority="15">
      <formula>AND($D$13&lt;500)</formula>
    </cfRule>
  </conditionalFormatting>
  <conditionalFormatting sqref="R16:U17">
    <cfRule type="expression" dxfId="8" priority="6">
      <formula>AND($J$13="Aucun panneau ne peut etre installé")</formula>
    </cfRule>
  </conditionalFormatting>
  <dataValidations count="2">
    <dataValidation type="list" allowBlank="1" showInputMessage="1" showErrorMessage="1" sqref="E22" xr:uid="{AB8AC0A4-B448-43E1-B5C6-F2776847828B}">
      <formula1>"%,°"</formula1>
    </dataValidation>
    <dataValidation type="list" allowBlank="1" showInputMessage="1" showErrorMessage="1" sqref="D25" xr:uid="{21784A2F-E5D5-4E01-A3B6-695147943A17}">
      <formula1>"2 appuis,3 appuis,4 appuis"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596C896-9B05-4C41-881C-2F26C09702D4}">
          <x14:formula1>
            <xm:f>Vent!$A$3:$A$6</xm:f>
          </x14:formula1>
          <xm:sqref>D10</xm:sqref>
        </x14:dataValidation>
        <x14:dataValidation type="list" allowBlank="1" showInputMessage="1" showErrorMessage="1" xr:uid="{69D1494A-EC39-464A-A6B8-0A9F09704EAA}">
          <x14:formula1>
            <xm:f>Vent!$E$2:$F$2</xm:f>
          </x14:formula1>
          <xm:sqref>D11</xm:sqref>
        </x14:dataValidation>
        <x14:dataValidation type="list" allowBlank="1" showInputMessage="1" showErrorMessage="1" xr:uid="{64662403-7157-4A80-9DA1-6E08D040B03F}">
          <x14:formula1>
            <xm:f>Neige!$A$3:$A$10</xm:f>
          </x14:formula1>
          <xm:sqref>D12</xm:sqref>
        </x14:dataValidation>
        <x14:dataValidation type="list" allowBlank="1" showInputMessage="1" showErrorMessage="1" xr:uid="{5A7CBB66-7443-473A-B24C-E51C874DFB6C}">
          <x14:formula1>
            <xm:f>Vent!$L$21:$L$22</xm:f>
          </x14:formula1>
          <xm:sqref>D23 D27</xm:sqref>
        </x14:dataValidation>
        <x14:dataValidation type="list" allowBlank="1" showInputMessage="1" showErrorMessage="1" xr:uid="{5536C35F-6CC1-4BCB-AC27-9AFE641E12C3}">
          <x14:formula1>
            <xm:f>'Charges Admissibles'!$O$3:$O$4</xm:f>
          </x14:formula1>
          <xm:sqref>D26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E4468-B3B2-4F3D-87B5-97CED5CC2D48}">
  <sheetPr codeName="Feuil2"/>
  <dimension ref="A1:I21"/>
  <sheetViews>
    <sheetView workbookViewId="0">
      <selection activeCell="B20" sqref="B20"/>
    </sheetView>
  </sheetViews>
  <sheetFormatPr baseColWidth="10" defaultRowHeight="14.4" x14ac:dyDescent="0.3"/>
  <sheetData>
    <row r="1" spans="1:8" x14ac:dyDescent="0.3">
      <c r="A1" s="78" t="s">
        <v>163</v>
      </c>
    </row>
    <row r="2" spans="1:8" x14ac:dyDescent="0.3">
      <c r="A2" t="s">
        <v>50</v>
      </c>
      <c r="B2" t="s">
        <v>59</v>
      </c>
      <c r="E2" t="s">
        <v>61</v>
      </c>
    </row>
    <row r="3" spans="1:8" x14ac:dyDescent="0.3">
      <c r="A3" t="s">
        <v>51</v>
      </c>
      <c r="B3">
        <v>350</v>
      </c>
      <c r="D3" t="s">
        <v>51</v>
      </c>
      <c r="E3">
        <v>0</v>
      </c>
    </row>
    <row r="4" spans="1:8" x14ac:dyDescent="0.3">
      <c r="A4" t="s">
        <v>52</v>
      </c>
      <c r="B4">
        <v>350</v>
      </c>
      <c r="D4" t="s">
        <v>52</v>
      </c>
      <c r="E4">
        <v>500</v>
      </c>
    </row>
    <row r="5" spans="1:8" x14ac:dyDescent="0.3">
      <c r="A5" t="s">
        <v>53</v>
      </c>
      <c r="B5">
        <v>450</v>
      </c>
      <c r="D5" t="s">
        <v>53</v>
      </c>
      <c r="E5">
        <v>500</v>
      </c>
    </row>
    <row r="6" spans="1:8" x14ac:dyDescent="0.3">
      <c r="A6" t="s">
        <v>54</v>
      </c>
      <c r="B6">
        <v>450</v>
      </c>
      <c r="D6" t="s">
        <v>54</v>
      </c>
      <c r="E6">
        <v>700</v>
      </c>
    </row>
    <row r="7" spans="1:8" x14ac:dyDescent="0.3">
      <c r="A7" t="s">
        <v>55</v>
      </c>
      <c r="B7">
        <v>550</v>
      </c>
      <c r="D7" t="s">
        <v>55</v>
      </c>
      <c r="E7">
        <v>0</v>
      </c>
    </row>
    <row r="8" spans="1:8" x14ac:dyDescent="0.3">
      <c r="A8" t="s">
        <v>56</v>
      </c>
      <c r="B8">
        <v>550</v>
      </c>
      <c r="D8" t="s">
        <v>56</v>
      </c>
      <c r="E8">
        <v>700</v>
      </c>
    </row>
    <row r="9" spans="1:8" x14ac:dyDescent="0.3">
      <c r="A9" t="s">
        <v>57</v>
      </c>
      <c r="B9">
        <v>800</v>
      </c>
      <c r="D9" t="s">
        <v>57</v>
      </c>
      <c r="E9">
        <v>900</v>
      </c>
    </row>
    <row r="10" spans="1:8" x14ac:dyDescent="0.3">
      <c r="A10" t="s">
        <v>58</v>
      </c>
      <c r="B10">
        <v>1150</v>
      </c>
      <c r="D10" t="s">
        <v>58</v>
      </c>
      <c r="E10">
        <v>0</v>
      </c>
    </row>
    <row r="12" spans="1:8" x14ac:dyDescent="0.3">
      <c r="A12" t="s">
        <v>3</v>
      </c>
      <c r="B12" s="1" t="s">
        <v>60</v>
      </c>
      <c r="C12" s="1"/>
      <c r="D12" s="1"/>
    </row>
    <row r="13" spans="1:8" x14ac:dyDescent="0.3">
      <c r="A13">
        <f>Données!D13</f>
        <v>300</v>
      </c>
      <c r="B13">
        <f>IF(A13&lt;500,MAX(A13,200)-200,300+2.5*(A13-500))</f>
        <v>100</v>
      </c>
    </row>
    <row r="15" spans="1:8" x14ac:dyDescent="0.3">
      <c r="A15" t="s">
        <v>62</v>
      </c>
      <c r="H15" t="s">
        <v>40</v>
      </c>
    </row>
    <row r="16" spans="1:8" x14ac:dyDescent="0.3">
      <c r="A16" t="s">
        <v>66</v>
      </c>
      <c r="B16">
        <f>Vent!B23</f>
        <v>11.309932474020215</v>
      </c>
      <c r="C16" t="s">
        <v>36</v>
      </c>
      <c r="F16" t="s">
        <v>69</v>
      </c>
      <c r="H16" t="s">
        <v>41</v>
      </c>
    </row>
    <row r="17" spans="1:9" x14ac:dyDescent="0.3">
      <c r="A17" t="s">
        <v>59</v>
      </c>
      <c r="B17">
        <f>VLOOKUP(Données!D12,Neige!A3:B10,2,FALSE)</f>
        <v>350</v>
      </c>
      <c r="C17" t="s">
        <v>31</v>
      </c>
      <c r="E17" t="s">
        <v>67</v>
      </c>
      <c r="F17" s="3">
        <f>IF(Données!D15=0,B18,Données!D15)*(COS(RADIANS(B16)))^2</f>
        <v>432.69230769230768</v>
      </c>
      <c r="G17" t="s">
        <v>31</v>
      </c>
      <c r="H17">
        <f>F17+B21*COS(RADIANS(B16))*9.81</f>
        <v>528.97835858172834</v>
      </c>
      <c r="I17" t="s">
        <v>31</v>
      </c>
    </row>
    <row r="18" spans="1:9" x14ac:dyDescent="0.3">
      <c r="A18" t="s">
        <v>63</v>
      </c>
      <c r="B18">
        <f>MAX(B17+B13,VLOOKUP(Données!D12,Neige!D3:E10,2,FALSE))</f>
        <v>450</v>
      </c>
      <c r="C18" t="s">
        <v>31</v>
      </c>
    </row>
    <row r="19" spans="1:9" x14ac:dyDescent="0.3">
      <c r="A19" t="s">
        <v>64</v>
      </c>
      <c r="B19" s="3">
        <f>IF(A13&lt;500,0,0.05*IF(Données!D15=0,B18,Données!D15))*0.01</f>
        <v>0</v>
      </c>
      <c r="C19" t="s">
        <v>32</v>
      </c>
    </row>
    <row r="20" spans="1:9" x14ac:dyDescent="0.3">
      <c r="A20" t="s">
        <v>65</v>
      </c>
      <c r="B20" s="3">
        <f>B19/COS(RADIANS(B16))</f>
        <v>0</v>
      </c>
      <c r="C20" t="s">
        <v>32</v>
      </c>
    </row>
    <row r="21" spans="1:9" x14ac:dyDescent="0.3">
      <c r="A21" t="s">
        <v>38</v>
      </c>
      <c r="B21" s="3">
        <f>Vent!B22</f>
        <v>10.009468957633922</v>
      </c>
      <c r="C21" t="s">
        <v>39</v>
      </c>
    </row>
  </sheetData>
  <sheetProtection algorithmName="SHA-512" hashValue="PoGFkUD/j9E87qmKC5Jx+TllluiCmS+Wv0SaAd4jgbuFAKJGxOrCQSmgSmyuQCW2VSjpUayFcao1gDv2r1W+rQ==" saltValue="PP3w4B4ls/iOOHnog+aJlQ==" spinCount="100000" sheet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4FF14-4AB7-48D4-9164-F0C95AD27410}">
  <sheetPr codeName="Feuil3"/>
  <dimension ref="A1:M24"/>
  <sheetViews>
    <sheetView topLeftCell="A13" workbookViewId="0">
      <selection activeCell="B20" sqref="B20"/>
    </sheetView>
  </sheetViews>
  <sheetFormatPr baseColWidth="10" defaultRowHeight="14.4" x14ac:dyDescent="0.3"/>
  <sheetData>
    <row r="1" spans="1:10" x14ac:dyDescent="0.3">
      <c r="A1" s="78" t="s">
        <v>163</v>
      </c>
      <c r="D1" s="199" t="s">
        <v>18</v>
      </c>
      <c r="E1" s="199"/>
      <c r="F1" s="199"/>
      <c r="G1" s="199"/>
    </row>
    <row r="2" spans="1:10" x14ac:dyDescent="0.3">
      <c r="A2" t="s">
        <v>13</v>
      </c>
      <c r="B2" t="s">
        <v>12</v>
      </c>
      <c r="E2" s="2" t="s">
        <v>24</v>
      </c>
      <c r="F2" s="199" t="s">
        <v>25</v>
      </c>
      <c r="G2" s="199"/>
    </row>
    <row r="3" spans="1:10" x14ac:dyDescent="0.3">
      <c r="A3" t="s">
        <v>8</v>
      </c>
      <c r="B3">
        <v>500</v>
      </c>
      <c r="D3" t="s">
        <v>8</v>
      </c>
      <c r="E3">
        <v>1</v>
      </c>
      <c r="F3" t="s">
        <v>8</v>
      </c>
      <c r="G3">
        <v>1.35</v>
      </c>
    </row>
    <row r="4" spans="1:10" x14ac:dyDescent="0.3">
      <c r="A4" t="s">
        <v>9</v>
      </c>
      <c r="B4">
        <v>600</v>
      </c>
      <c r="D4" t="s">
        <v>9</v>
      </c>
      <c r="E4">
        <v>1</v>
      </c>
      <c r="F4" t="s">
        <v>9</v>
      </c>
      <c r="G4">
        <v>1.3</v>
      </c>
    </row>
    <row r="5" spans="1:10" x14ac:dyDescent="0.3">
      <c r="A5" t="s">
        <v>10</v>
      </c>
      <c r="B5">
        <v>750</v>
      </c>
      <c r="D5" t="s">
        <v>10</v>
      </c>
      <c r="E5">
        <v>1</v>
      </c>
      <c r="F5" t="s">
        <v>10</v>
      </c>
      <c r="G5">
        <v>1.25</v>
      </c>
    </row>
    <row r="6" spans="1:10" x14ac:dyDescent="0.3">
      <c r="A6" t="s">
        <v>11</v>
      </c>
      <c r="B6">
        <v>900</v>
      </c>
      <c r="D6" t="s">
        <v>11</v>
      </c>
      <c r="E6">
        <v>1</v>
      </c>
      <c r="F6" t="s">
        <v>11</v>
      </c>
      <c r="G6">
        <v>1.2</v>
      </c>
    </row>
    <row r="8" spans="1:10" x14ac:dyDescent="0.3">
      <c r="E8" s="199" t="s">
        <v>19</v>
      </c>
      <c r="F8" s="199" t="s">
        <v>23</v>
      </c>
      <c r="G8" s="199"/>
      <c r="H8" s="199"/>
    </row>
    <row r="9" spans="1:10" x14ac:dyDescent="0.3">
      <c r="A9" t="s">
        <v>14</v>
      </c>
      <c r="B9" s="1" t="s">
        <v>17</v>
      </c>
      <c r="E9" s="199"/>
      <c r="F9" t="s">
        <v>20</v>
      </c>
      <c r="G9" t="s">
        <v>21</v>
      </c>
      <c r="H9" t="s">
        <v>22</v>
      </c>
    </row>
    <row r="10" spans="1:10" x14ac:dyDescent="0.3">
      <c r="A10" t="s">
        <v>15</v>
      </c>
      <c r="B10">
        <v>0.92</v>
      </c>
      <c r="E10">
        <v>0</v>
      </c>
      <c r="F10">
        <v>-0.75</v>
      </c>
      <c r="G10">
        <v>-1.4</v>
      </c>
      <c r="H10">
        <v>-2.1</v>
      </c>
    </row>
    <row r="11" spans="1:10" x14ac:dyDescent="0.3">
      <c r="A11" t="s">
        <v>16</v>
      </c>
      <c r="B11">
        <v>1</v>
      </c>
    </row>
    <row r="13" spans="1:10" x14ac:dyDescent="0.3">
      <c r="A13" t="s">
        <v>26</v>
      </c>
    </row>
    <row r="14" spans="1:10" x14ac:dyDescent="0.3">
      <c r="A14" t="s">
        <v>12</v>
      </c>
      <c r="B14">
        <f>VLOOKUP(Données!D10,Vent!A3:B6,2,FALSE)</f>
        <v>500</v>
      </c>
      <c r="C14" t="s">
        <v>31</v>
      </c>
    </row>
    <row r="15" spans="1:10" x14ac:dyDescent="0.3">
      <c r="A15" t="s">
        <v>18</v>
      </c>
      <c r="B15">
        <f>IF(Données!D11=Vent!E2,VLOOKUP(Données!D10,Vent!D3:E6,2,FALSE),VLOOKUP(Données!D10,Vent!F3:G6,2,FALSE))</f>
        <v>1</v>
      </c>
    </row>
    <row r="16" spans="1:10" x14ac:dyDescent="0.3">
      <c r="A16" s="1" t="s">
        <v>17</v>
      </c>
      <c r="B16">
        <v>1</v>
      </c>
      <c r="H16" t="s">
        <v>40</v>
      </c>
      <c r="J16" t="s">
        <v>44</v>
      </c>
    </row>
    <row r="17" spans="1:13" x14ac:dyDescent="0.3">
      <c r="A17" s="1" t="s">
        <v>19</v>
      </c>
      <c r="B17">
        <f>E10</f>
        <v>0</v>
      </c>
      <c r="F17" t="s">
        <v>42</v>
      </c>
      <c r="H17" t="s">
        <v>41</v>
      </c>
      <c r="J17" t="s">
        <v>45</v>
      </c>
      <c r="K17" t="s">
        <v>46</v>
      </c>
      <c r="L17" t="s">
        <v>47</v>
      </c>
      <c r="M17" t="s">
        <v>48</v>
      </c>
    </row>
    <row r="18" spans="1:13" x14ac:dyDescent="0.3">
      <c r="A18" s="1" t="s">
        <v>29</v>
      </c>
      <c r="B18">
        <f>F10</f>
        <v>-0.75</v>
      </c>
      <c r="E18" t="s">
        <v>35</v>
      </c>
      <c r="F18">
        <f>IF(Données!D14=0,$B$14*$B$15*$B$16*2.5*($B$21+18)/($B$21+60),Données!D14)*(B18-$B$17)</f>
        <v>-375</v>
      </c>
      <c r="G18" t="s">
        <v>31</v>
      </c>
      <c r="H18" s="3">
        <f>F18+$B$22*9.81*COS(RADIANS($B$23))</f>
        <v>-278.71394911057934</v>
      </c>
      <c r="I18" t="s">
        <v>31</v>
      </c>
      <c r="J18">
        <f>Données!D21/10</f>
        <v>2</v>
      </c>
      <c r="K18">
        <f>Données!D20-Données!D21/10</f>
        <v>18</v>
      </c>
      <c r="L18">
        <f>J18</f>
        <v>2</v>
      </c>
      <c r="M18" t="s">
        <v>49</v>
      </c>
    </row>
    <row r="19" spans="1:13" x14ac:dyDescent="0.3">
      <c r="A19" s="1" t="s">
        <v>27</v>
      </c>
      <c r="B19">
        <f>G10</f>
        <v>-1.4</v>
      </c>
      <c r="E19" t="s">
        <v>33</v>
      </c>
      <c r="F19">
        <f>IF(Données!D14=0,$B$14*$B$15*$B$16*2.5*($B$21+18)/($B$21+60),Données!D14)*(B19-$B$17)</f>
        <v>-700</v>
      </c>
      <c r="G19" t="s">
        <v>31</v>
      </c>
      <c r="H19" s="3">
        <f t="shared" ref="H19:H20" si="0">F19+$B$22*9.81*COS(RADIANS($B$23))</f>
        <v>-603.71394911057928</v>
      </c>
      <c r="I19" t="s">
        <v>31</v>
      </c>
    </row>
    <row r="20" spans="1:13" x14ac:dyDescent="0.3">
      <c r="A20" s="1" t="s">
        <v>28</v>
      </c>
      <c r="B20">
        <f>H10</f>
        <v>-2.1</v>
      </c>
      <c r="E20" t="s">
        <v>34</v>
      </c>
      <c r="F20">
        <f>IF(Données!D14=0,$B$14*$B$15*$B$16*2.5*($B$21+18)/($B$21+60),Données!D14)*(B20-$B$17)</f>
        <v>-1050</v>
      </c>
      <c r="G20" t="s">
        <v>31</v>
      </c>
      <c r="H20" s="3">
        <f t="shared" si="0"/>
        <v>-953.71394911057928</v>
      </c>
      <c r="I20" t="s">
        <v>31</v>
      </c>
    </row>
    <row r="21" spans="1:13" x14ac:dyDescent="0.3">
      <c r="A21" s="1" t="s">
        <v>30</v>
      </c>
      <c r="B21">
        <f>Données!D19</f>
        <v>10</v>
      </c>
      <c r="C21" t="s">
        <v>32</v>
      </c>
      <c r="L21" t="s">
        <v>97</v>
      </c>
    </row>
    <row r="22" spans="1:13" x14ac:dyDescent="0.3">
      <c r="A22" s="1" t="s">
        <v>38</v>
      </c>
      <c r="B22" s="3">
        <f>Données!D32/(Données!D31*Données!D30*0.000001)</f>
        <v>10.009468957633922</v>
      </c>
      <c r="C22" t="s">
        <v>39</v>
      </c>
      <c r="L22" t="s">
        <v>98</v>
      </c>
    </row>
    <row r="23" spans="1:13" x14ac:dyDescent="0.3">
      <c r="A23" s="1" t="s">
        <v>43</v>
      </c>
      <c r="B23">
        <f>IF(Données!E22="%",Données!F22,Données!D22)</f>
        <v>11.309932474020215</v>
      </c>
      <c r="C23" t="s">
        <v>36</v>
      </c>
    </row>
    <row r="24" spans="1:13" x14ac:dyDescent="0.3">
      <c r="A24" s="1" t="s">
        <v>99</v>
      </c>
      <c r="B24">
        <f>Données!D21/(IF(Données!D23="1 rampant",1,2))/COS(RADIANS(B23))</f>
        <v>10.198039027185571</v>
      </c>
      <c r="C24" t="s">
        <v>32</v>
      </c>
    </row>
  </sheetData>
  <sheetProtection selectLockedCells="1" selectUnlockedCells="1"/>
  <mergeCells count="4">
    <mergeCell ref="F8:H8"/>
    <mergeCell ref="E8:E9"/>
    <mergeCell ref="D1:G1"/>
    <mergeCell ref="F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F234D-7170-4C79-9B58-067FFE4C4BED}">
  <sheetPr codeName="Feuil4"/>
  <dimension ref="A1:O38"/>
  <sheetViews>
    <sheetView workbookViewId="0">
      <selection activeCell="E36" sqref="E36"/>
    </sheetView>
  </sheetViews>
  <sheetFormatPr baseColWidth="10" defaultRowHeight="14.4" x14ac:dyDescent="0.3"/>
  <cols>
    <col min="6" max="6" width="12.5546875" bestFit="1" customWidth="1"/>
  </cols>
  <sheetData>
    <row r="1" spans="1:15" x14ac:dyDescent="0.3">
      <c r="D1" s="199" t="s">
        <v>162</v>
      </c>
      <c r="E1" s="199"/>
      <c r="F1" s="199"/>
      <c r="G1" s="199"/>
    </row>
    <row r="2" spans="1:15" x14ac:dyDescent="0.3">
      <c r="D2" s="199"/>
      <c r="E2" s="199"/>
      <c r="F2" s="199"/>
      <c r="G2" s="199"/>
      <c r="O2" t="s">
        <v>127</v>
      </c>
    </row>
    <row r="3" spans="1:15" x14ac:dyDescent="0.3">
      <c r="A3" t="s">
        <v>77</v>
      </c>
      <c r="B3" t="str">
        <f>Données!D25</f>
        <v>4 appuis</v>
      </c>
      <c r="O3" t="s">
        <v>160</v>
      </c>
    </row>
    <row r="4" spans="1:15" x14ac:dyDescent="0.3">
      <c r="A4" t="s">
        <v>4</v>
      </c>
      <c r="B4">
        <f>Données!D24</f>
        <v>1.5</v>
      </c>
      <c r="C4" t="s">
        <v>32</v>
      </c>
      <c r="D4" s="4" t="s">
        <v>88</v>
      </c>
      <c r="E4" s="4" t="s">
        <v>85</v>
      </c>
      <c r="F4" s="4" t="s">
        <v>89</v>
      </c>
      <c r="G4" s="4" t="s">
        <v>85</v>
      </c>
      <c r="O4" t="s">
        <v>161</v>
      </c>
    </row>
    <row r="5" spans="1:15" x14ac:dyDescent="0.3">
      <c r="A5" s="63" t="s">
        <v>78</v>
      </c>
      <c r="B5" s="63">
        <f>Neige!H17</f>
        <v>528.97835858172834</v>
      </c>
      <c r="D5" s="64">
        <f>IF($B$10="39mm",'A39'!D59,'A45'!D59)</f>
        <v>1.9310216414182717</v>
      </c>
      <c r="E5" s="65">
        <f>IF($B$10="39mm",'A39'!E59,'A45'!E59)</f>
        <v>1</v>
      </c>
      <c r="F5" s="64">
        <f>IF($B$10="39mm",'A39'!F59,'A45'!F59)</f>
        <v>2</v>
      </c>
      <c r="G5" s="65">
        <f>IF($B$10="39mm",'A39'!G59,'A45'!G59)</f>
        <v>1</v>
      </c>
    </row>
    <row r="6" spans="1:15" x14ac:dyDescent="0.3">
      <c r="D6" s="24"/>
      <c r="E6" s="4"/>
      <c r="F6" s="24"/>
      <c r="G6" s="4"/>
    </row>
    <row r="7" spans="1:15" x14ac:dyDescent="0.3">
      <c r="A7" s="51" t="s">
        <v>79</v>
      </c>
      <c r="B7" s="52">
        <f>Vent!H18</f>
        <v>-278.71394911057934</v>
      </c>
      <c r="D7" s="53">
        <f>IF($B$10="39mm",'A39'!D61,'A45'!D61)</f>
        <v>2</v>
      </c>
      <c r="E7" s="54">
        <f>IF($B$10="39mm",'A39'!E61,'A45'!E61)</f>
        <v>1</v>
      </c>
      <c r="F7" s="53">
        <f>IF($B$10="39mm",'A39'!F61,'A45'!F61)</f>
        <v>2</v>
      </c>
      <c r="G7" s="54">
        <f>IF($B$10="39mm",'A39'!G61,'A45'!G61)</f>
        <v>1</v>
      </c>
      <c r="I7" s="204" t="str">
        <f>IF($B$10="39mm",'A39'!I61,'A45'!I61)</f>
        <v>Possible avec 2 short rails</v>
      </c>
      <c r="J7" s="204"/>
      <c r="K7" s="204"/>
      <c r="L7" s="3">
        <f>IF($B$10="39mm",'A39'!L61,'A45'!L61)</f>
        <v>1.9310216414182717</v>
      </c>
      <c r="M7" s="3">
        <f>IF($B$10="39mm",'A39'!M61,'A45'!M61)</f>
        <v>2</v>
      </c>
      <c r="N7" s="3"/>
    </row>
    <row r="8" spans="1:15" x14ac:dyDescent="0.3">
      <c r="A8" s="55" t="s">
        <v>80</v>
      </c>
      <c r="B8" s="56">
        <f>Vent!H19</f>
        <v>-603.71394911057928</v>
      </c>
      <c r="D8" s="57">
        <f>IF($B$10="39mm",'A39'!D62,'A45'!D62)</f>
        <v>1.98</v>
      </c>
      <c r="E8" s="58">
        <f>IF($B$10="39mm",'A39'!E62,'A45'!E62)</f>
        <v>1</v>
      </c>
      <c r="F8" s="57">
        <f>IF($B$10="39mm",'A39'!F62,'A45'!F62)</f>
        <v>2</v>
      </c>
      <c r="G8" s="58">
        <f>IF($B$10="39mm",'A39'!G62,'A45'!G62)</f>
        <v>1</v>
      </c>
      <c r="I8" s="205" t="str">
        <f>IF($B$10="39mm",'A39'!I62,'A45'!I62)</f>
        <v>Possible avec 2 short rails</v>
      </c>
      <c r="J8" s="205"/>
      <c r="K8" s="205"/>
      <c r="L8" s="3">
        <f>IF($B$10="39mm",'A39'!L62,'A45'!L62)</f>
        <v>1.9310216414182717</v>
      </c>
      <c r="M8" s="3">
        <f>IF($B$10="39mm",'A39'!M62,'A45'!M62)</f>
        <v>2</v>
      </c>
      <c r="N8" s="3"/>
    </row>
    <row r="9" spans="1:15" x14ac:dyDescent="0.3">
      <c r="A9" s="59" t="s">
        <v>81</v>
      </c>
      <c r="B9" s="60">
        <f>Vent!H20</f>
        <v>-953.71394911057928</v>
      </c>
      <c r="D9" s="61">
        <f>IF($B$10="39mm",'A39'!D63,'A45'!D63)</f>
        <v>1.5025721017788414</v>
      </c>
      <c r="E9" s="62">
        <f>IF($B$10="39mm",'A39'!E63,'A45'!E63)</f>
        <v>1</v>
      </c>
      <c r="F9" s="61">
        <f>IF($B$10="39mm",'A39'!F63,'A45'!F63)</f>
        <v>1.5410865221346097</v>
      </c>
      <c r="G9" s="62">
        <f>IF($B$10="39mm",'A39'!G63,'A45'!G63)</f>
        <v>1</v>
      </c>
      <c r="I9" s="206" t="str">
        <f>IF($B$10="39mm",'A39'!I63,'A45'!I63)</f>
        <v>Possible avec 2 short rails</v>
      </c>
      <c r="J9" s="206"/>
      <c r="K9" s="206"/>
      <c r="L9" s="3">
        <f>IF($B$10="39mm",'A39'!L63,'A45'!L63)</f>
        <v>1.5025721017788414</v>
      </c>
      <c r="M9" s="3">
        <f>IF($B$10="39mm",'A39'!M63,'A45'!M63)</f>
        <v>1.5410865221346097</v>
      </c>
      <c r="N9" s="3"/>
    </row>
    <row r="10" spans="1:15" x14ac:dyDescent="0.3">
      <c r="A10" t="s">
        <v>126</v>
      </c>
      <c r="B10" s="78" t="str">
        <f>Données!D26</f>
        <v>39mm</v>
      </c>
    </row>
    <row r="11" spans="1:15" x14ac:dyDescent="0.3">
      <c r="A11" t="s">
        <v>95</v>
      </c>
      <c r="B11" s="3">
        <f>Neige!B20</f>
        <v>0</v>
      </c>
      <c r="C11" t="s">
        <v>32</v>
      </c>
    </row>
    <row r="12" spans="1:15" x14ac:dyDescent="0.3">
      <c r="A12" t="s">
        <v>96</v>
      </c>
      <c r="B12" s="3">
        <f>Vent!J18</f>
        <v>2</v>
      </c>
      <c r="C12" t="s">
        <v>32</v>
      </c>
      <c r="I12" s="204" t="str">
        <f>F36&amp;I36</f>
        <v>Possible avec 2 short rails*</v>
      </c>
      <c r="J12" s="204"/>
      <c r="K12" s="204"/>
      <c r="L12" s="203" t="s">
        <v>190</v>
      </c>
      <c r="M12" s="203"/>
      <c r="N12" s="203"/>
    </row>
    <row r="13" spans="1:15" x14ac:dyDescent="0.3">
      <c r="A13" t="s">
        <v>90</v>
      </c>
      <c r="B13">
        <f>Vent!J18</f>
        <v>2</v>
      </c>
      <c r="C13" t="s">
        <v>32</v>
      </c>
      <c r="I13" s="205" t="str">
        <f>F37&amp;I37</f>
        <v>Possible avec 2 short rails*</v>
      </c>
      <c r="J13" s="205"/>
      <c r="K13" s="205"/>
      <c r="L13" s="203"/>
      <c r="M13" s="203"/>
      <c r="N13" s="203"/>
    </row>
    <row r="14" spans="1:15" x14ac:dyDescent="0.3">
      <c r="A14" t="s">
        <v>91</v>
      </c>
      <c r="I14" s="206" t="str">
        <f>F38&amp;I38</f>
        <v>Possible avec 2 short rails</v>
      </c>
      <c r="J14" s="206"/>
      <c r="K14" s="206"/>
      <c r="L14" s="203"/>
      <c r="M14" s="203"/>
      <c r="N14" s="203"/>
    </row>
    <row r="17" spans="1:9" x14ac:dyDescent="0.3">
      <c r="A17" s="133" t="s">
        <v>175</v>
      </c>
    </row>
    <row r="18" spans="1:9" x14ac:dyDescent="0.3">
      <c r="A18" t="s">
        <v>171</v>
      </c>
      <c r="B18">
        <v>75</v>
      </c>
      <c r="C18" t="s">
        <v>172</v>
      </c>
    </row>
    <row r="19" spans="1:9" x14ac:dyDescent="0.3">
      <c r="A19" t="s">
        <v>173</v>
      </c>
      <c r="B19">
        <v>125</v>
      </c>
      <c r="C19" t="s">
        <v>172</v>
      </c>
    </row>
    <row r="20" spans="1:9" x14ac:dyDescent="0.3">
      <c r="A20" t="s">
        <v>174</v>
      </c>
      <c r="B20">
        <v>125</v>
      </c>
      <c r="C20" t="s">
        <v>172</v>
      </c>
      <c r="D20" t="s">
        <v>191</v>
      </c>
    </row>
    <row r="22" spans="1:9" x14ac:dyDescent="0.3">
      <c r="A22" t="s">
        <v>186</v>
      </c>
    </row>
    <row r="23" spans="1:9" x14ac:dyDescent="0.3">
      <c r="A23" s="134">
        <v>36</v>
      </c>
    </row>
    <row r="24" spans="1:9" x14ac:dyDescent="0.3">
      <c r="A24" s="134"/>
      <c r="E24" t="s">
        <v>195</v>
      </c>
      <c r="F24" t="s">
        <v>194</v>
      </c>
    </row>
    <row r="25" spans="1:9" ht="15" thickBot="1" x14ac:dyDescent="0.35">
      <c r="A25" t="s">
        <v>176</v>
      </c>
      <c r="E25">
        <v>1000</v>
      </c>
      <c r="F25">
        <f>F26</f>
        <v>0.441</v>
      </c>
      <c r="H25" s="207" t="s">
        <v>196</v>
      </c>
      <c r="I25" s="207"/>
    </row>
    <row r="26" spans="1:9" x14ac:dyDescent="0.3">
      <c r="A26">
        <f>Données!D30*Données!D31/1000000</f>
        <v>1.998108</v>
      </c>
      <c r="B26" t="s">
        <v>177</v>
      </c>
      <c r="E26">
        <v>1762</v>
      </c>
      <c r="F26">
        <v>0.441</v>
      </c>
      <c r="H26" s="30">
        <f>INDEX(E25:E29,MATCH(H28,E25:E29,1))</f>
        <v>1762</v>
      </c>
      <c r="I26" s="135">
        <f>VLOOKUP(H$26,E25:F29,2,FALSE)</f>
        <v>0.441</v>
      </c>
    </row>
    <row r="27" spans="1:9" x14ac:dyDescent="0.3">
      <c r="A27">
        <f>Données!D30/1000</f>
        <v>1.762</v>
      </c>
      <c r="B27" t="s">
        <v>32</v>
      </c>
      <c r="E27">
        <v>2000</v>
      </c>
      <c r="F27">
        <v>0.34599999999999997</v>
      </c>
      <c r="H27" s="26" cm="1">
        <f t="array" ref="H27">INDEX(E25:E29,MATCH(H28,E25:E29,1)+1)</f>
        <v>2000</v>
      </c>
      <c r="I27" s="27">
        <f>VLOOKUP(H$27,E25:F29,2,FALSE)</f>
        <v>0.34599999999999997</v>
      </c>
    </row>
    <row r="28" spans="1:9" ht="15" thickBot="1" x14ac:dyDescent="0.35">
      <c r="A28">
        <f>Données!D31/1000</f>
        <v>1.1339999999999999</v>
      </c>
      <c r="B28" t="s">
        <v>32</v>
      </c>
      <c r="E28">
        <v>2384</v>
      </c>
      <c r="F28">
        <v>0.41699999999999998</v>
      </c>
      <c r="H28" s="47">
        <f>A27*1000</f>
        <v>1762</v>
      </c>
      <c r="I28" s="136">
        <f>IF(H28&lt;E25,10000,IF(H28&gt;E29,10000,I26+(I27-I26)/(H27-H26)*(H28-H26)))</f>
        <v>0.441</v>
      </c>
    </row>
    <row r="29" spans="1:9" x14ac:dyDescent="0.3">
      <c r="A29" t="s">
        <v>192</v>
      </c>
      <c r="E29">
        <v>2500</v>
      </c>
      <c r="F29">
        <f>F28</f>
        <v>0.41699999999999998</v>
      </c>
    </row>
    <row r="30" spans="1:9" x14ac:dyDescent="0.3">
      <c r="A30">
        <v>0.5</v>
      </c>
    </row>
    <row r="31" spans="1:9" x14ac:dyDescent="0.3">
      <c r="A31" t="s">
        <v>193</v>
      </c>
    </row>
    <row r="32" spans="1:9" x14ac:dyDescent="0.3">
      <c r="A32" s="137">
        <f>I28</f>
        <v>0.441</v>
      </c>
    </row>
    <row r="34" spans="1:9" x14ac:dyDescent="0.3">
      <c r="C34" s="199" t="s">
        <v>181</v>
      </c>
      <c r="D34" s="199"/>
      <c r="E34" s="202" t="s">
        <v>182</v>
      </c>
      <c r="F34" s="202" t="s">
        <v>189</v>
      </c>
    </row>
    <row r="35" spans="1:9" x14ac:dyDescent="0.3">
      <c r="C35" s="4">
        <v>2</v>
      </c>
      <c r="D35" s="4">
        <v>3</v>
      </c>
      <c r="E35" s="202"/>
      <c r="F35" s="202"/>
    </row>
    <row r="36" spans="1:9" x14ac:dyDescent="0.3">
      <c r="A36" s="208" t="s">
        <v>180</v>
      </c>
      <c r="B36" s="208"/>
      <c r="C36" s="129">
        <f>ABS($B7*($A$26)*$A$30/10)</f>
        <v>27.845028571472074</v>
      </c>
      <c r="D36" s="129">
        <f>ABS($B7*($A$26)*$A$32/10)</f>
        <v>24.55931520003837</v>
      </c>
      <c r="E36" s="129">
        <f>IF(I7="Possible avec 2 short rails",C36,IF(I7="Possible uniquement avec 3 short rails",D36,9999))</f>
        <v>27.845028571472074</v>
      </c>
      <c r="F36" t="str">
        <f>IF(E36&gt;1000,"Impossible d'installer PRIMA+",IF(MIN(C36:D36)&gt;B19,"Impossible d'installer PRIMA+",IF(C36&gt;B19,"Possible uniquement avec 3 short rails",IF(E36=D36,"Possible uniquement avec 3 short rails","Possible avec 2 short rails"))))</f>
        <v>Possible avec 2 short rails</v>
      </c>
      <c r="H36" s="132" t="str">
        <f>IF(ROUNDDOWN(E36,0)&lt;=$B$18,"(PRIMA+ avec 2 vis aux extrémités possible)","")</f>
        <v>(PRIMA+ avec 2 vis aux extrémités possible)</v>
      </c>
      <c r="I36" t="str">
        <f>IF(ABS(IF(I7="Possible avec 2 short rails",C36,IF(I7="Possible uniquement avec 3 short rails",D36,9999)))&lt;=$B$18,"*","")</f>
        <v>*</v>
      </c>
    </row>
    <row r="37" spans="1:9" x14ac:dyDescent="0.3">
      <c r="A37" s="200" t="s">
        <v>178</v>
      </c>
      <c r="B37" s="200"/>
      <c r="C37" s="129">
        <f t="shared" ref="C37:C38" si="0">ABS($B8*($A$26)*$A$30/10)</f>
        <v>60.314283571472075</v>
      </c>
      <c r="D37" s="129">
        <f t="shared" ref="D37:D38" si="1">ABS($B8*($A$26)*$A$32/10)</f>
        <v>53.197198110038372</v>
      </c>
      <c r="E37" s="129">
        <f>IF(I8="Possible avec 2 short rails",C37,IF(I8="Possible uniquement avec 3 short rails",D37,9999))</f>
        <v>60.314283571472075</v>
      </c>
      <c r="F37" t="str">
        <f>IF(E37&gt;1000,"Impossible d'installer PRIMA+",IF(MIN(C37:D37)&gt;B19,"Impossible d'installer PRIMA+",IF(C37&gt;B19,"Possible uniquement avec 3 short rails",IF(E37=D37,"Possible uniquement avec 3 short rails","Possible avec 2 short rails"))))</f>
        <v>Possible avec 2 short rails</v>
      </c>
      <c r="H37" t="str">
        <f>IF(ROUNDDOWN(E37,0)&lt;=$B$18,"(PRIMA+ avec 2 vis aux extrémités possible)","")</f>
        <v>(PRIMA+ avec 2 vis aux extrémités possible)</v>
      </c>
      <c r="I37" t="str">
        <f>IF(ABS(IF(I8="Possible avec 2 short rails",C37,IF(I8="Possible uniquement avec 3 short rails",D37,9999)))&lt;=$B$18,"*","")</f>
        <v>*</v>
      </c>
    </row>
    <row r="38" spans="1:9" x14ac:dyDescent="0.3">
      <c r="A38" s="201" t="s">
        <v>179</v>
      </c>
      <c r="B38" s="201"/>
      <c r="C38" s="129">
        <f t="shared" si="0"/>
        <v>95.281173571472067</v>
      </c>
      <c r="D38" s="129">
        <f t="shared" si="1"/>
        <v>84.037995090038365</v>
      </c>
      <c r="E38" s="129">
        <f>IF(I9="Possible avec 2 short rails",C38,IF(I9="Possible uniquement avec 3 short rails",D38,9999))</f>
        <v>95.281173571472067</v>
      </c>
      <c r="F38" t="str">
        <f>IF(E38&gt;1000,"Impossible d'installer PRIMA+",IF(MIN(C38:D38)&gt;B19,"Impossible d'installer PRIMA+",IF(C38&gt;B19,"Possible uniquement avec 3 short rails",IF(E38=D38,"Possible uniquement avec 3 short rails","Possible avec 2 short rails"))))</f>
        <v>Possible avec 2 short rails</v>
      </c>
      <c r="H38" t="str">
        <f>IF(ROUNDDOWN(E38,0)&lt;=$B$18,"(PRIMA+ avec 2 vis possible)","")</f>
        <v/>
      </c>
      <c r="I38" t="str">
        <f>IF(ABS(IF(I9="Possible avec 2 short rails",C38,IF(I9="Possible uniquement avec 3 short rails",D38,9999)))&lt;=$B$18,"*","")</f>
        <v/>
      </c>
    </row>
  </sheetData>
  <sheetProtection algorithmName="SHA-512" hashValue="TaItAOkZx6jh2lpDpHHiciqs4Y+VSMblXb0nTooU7ti0fV1/5J17ZIZv0ExN7Cs5a9zTVpJ4DsZgjN5Hx//zaA==" saltValue="Wuc7YL59WKiYMuy2KnhPOg==" spinCount="100000" sheet="1" selectLockedCells="1" selectUnlockedCells="1"/>
  <mergeCells count="15">
    <mergeCell ref="I7:K7"/>
    <mergeCell ref="I8:K8"/>
    <mergeCell ref="I9:K9"/>
    <mergeCell ref="D1:G2"/>
    <mergeCell ref="A36:B36"/>
    <mergeCell ref="A37:B37"/>
    <mergeCell ref="A38:B38"/>
    <mergeCell ref="C34:D34"/>
    <mergeCell ref="E34:E35"/>
    <mergeCell ref="L12:N14"/>
    <mergeCell ref="I12:K12"/>
    <mergeCell ref="I13:K13"/>
    <mergeCell ref="I14:K14"/>
    <mergeCell ref="F34:F35"/>
    <mergeCell ref="H25:I25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B7543-076E-46E7-A7C9-51C2DDF2C7E7}">
  <sheetPr codeName="Feuil5"/>
  <dimension ref="A1:S68"/>
  <sheetViews>
    <sheetView workbookViewId="0">
      <pane ySplit="2" topLeftCell="A41" activePane="bottomLeft" state="frozen"/>
      <selection activeCell="E36" sqref="E36"/>
      <selection pane="bottomLeft" activeCell="E36" sqref="E36"/>
    </sheetView>
  </sheetViews>
  <sheetFormatPr baseColWidth="10" defaultRowHeight="14.4" x14ac:dyDescent="0.3"/>
  <sheetData>
    <row r="1" spans="2:15" ht="15" thickBot="1" x14ac:dyDescent="0.35">
      <c r="C1" s="225" t="s">
        <v>74</v>
      </c>
      <c r="D1" s="226"/>
      <c r="E1" s="226"/>
      <c r="F1" s="226"/>
      <c r="G1" s="226"/>
      <c r="H1" s="227"/>
      <c r="J1" s="225" t="s">
        <v>75</v>
      </c>
      <c r="K1" s="226"/>
      <c r="L1" s="226"/>
      <c r="M1" s="226"/>
      <c r="N1" s="226"/>
      <c r="O1" s="227"/>
    </row>
    <row r="2" spans="2:15" ht="15" thickBot="1" x14ac:dyDescent="0.35">
      <c r="C2" s="228" t="s">
        <v>71</v>
      </c>
      <c r="D2" s="229"/>
      <c r="E2" s="228" t="s">
        <v>72</v>
      </c>
      <c r="F2" s="230"/>
      <c r="G2" s="231" t="s">
        <v>73</v>
      </c>
      <c r="H2" s="230"/>
      <c r="J2" s="228" t="str">
        <f>C2</f>
        <v>2 appuis</v>
      </c>
      <c r="K2" s="229"/>
      <c r="L2" s="225" t="str">
        <f>E2</f>
        <v>3 appuis</v>
      </c>
      <c r="M2" s="227"/>
      <c r="N2" s="232" t="str">
        <f>G2</f>
        <v>4 appuis</v>
      </c>
      <c r="O2" s="227"/>
    </row>
    <row r="3" spans="2:15" x14ac:dyDescent="0.3">
      <c r="B3" s="209" t="s">
        <v>70</v>
      </c>
      <c r="C3" s="17">
        <v>450</v>
      </c>
      <c r="D3" s="19">
        <v>1.67</v>
      </c>
      <c r="E3" s="5">
        <f>C3</f>
        <v>450</v>
      </c>
      <c r="F3" s="7">
        <v>2</v>
      </c>
      <c r="G3" s="8">
        <f>C3</f>
        <v>450</v>
      </c>
      <c r="H3" s="7">
        <v>2</v>
      </c>
      <c r="J3" s="17">
        <v>450</v>
      </c>
      <c r="K3" s="6">
        <v>1.77</v>
      </c>
      <c r="L3" s="5">
        <f t="shared" ref="L3:N19" si="0">E3</f>
        <v>450</v>
      </c>
      <c r="M3" s="7">
        <v>2</v>
      </c>
      <c r="N3" s="8">
        <f t="shared" si="0"/>
        <v>450</v>
      </c>
      <c r="O3" s="7">
        <v>2</v>
      </c>
    </row>
    <row r="4" spans="2:15" x14ac:dyDescent="0.3">
      <c r="B4" s="210"/>
      <c r="C4" s="9">
        <v>500</v>
      </c>
      <c r="D4" s="11">
        <v>1.61</v>
      </c>
      <c r="E4" s="9">
        <f t="shared" ref="E4:E19" si="1">C4</f>
        <v>500</v>
      </c>
      <c r="F4" s="11">
        <v>2</v>
      </c>
      <c r="G4" s="12">
        <f t="shared" ref="G4:G19" si="2">C4</f>
        <v>500</v>
      </c>
      <c r="H4" s="11">
        <v>1.96</v>
      </c>
      <c r="J4" s="9">
        <v>500</v>
      </c>
      <c r="K4" s="10">
        <v>1.72</v>
      </c>
      <c r="L4" s="9">
        <f t="shared" si="0"/>
        <v>500</v>
      </c>
      <c r="M4" s="11">
        <v>2</v>
      </c>
      <c r="N4" s="12">
        <f t="shared" si="0"/>
        <v>500</v>
      </c>
      <c r="O4" s="11">
        <v>2</v>
      </c>
    </row>
    <row r="5" spans="2:15" x14ac:dyDescent="0.3">
      <c r="B5" s="210"/>
      <c r="C5" s="9">
        <v>550</v>
      </c>
      <c r="D5" s="11">
        <v>1.55</v>
      </c>
      <c r="E5" s="9">
        <f>C5</f>
        <v>550</v>
      </c>
      <c r="F5" s="11">
        <v>1.97</v>
      </c>
      <c r="G5" s="12">
        <f>C5</f>
        <v>550</v>
      </c>
      <c r="H5" s="11">
        <v>1.91</v>
      </c>
      <c r="J5" s="9">
        <v>550</v>
      </c>
      <c r="K5" s="11">
        <v>1.67</v>
      </c>
      <c r="L5" s="9">
        <f>J5</f>
        <v>550</v>
      </c>
      <c r="M5" s="11">
        <v>2</v>
      </c>
      <c r="N5" s="12">
        <f>J5</f>
        <v>550</v>
      </c>
      <c r="O5" s="11">
        <v>2</v>
      </c>
    </row>
    <row r="6" spans="2:15" x14ac:dyDescent="0.3">
      <c r="B6" s="210"/>
      <c r="C6" s="9">
        <v>600</v>
      </c>
      <c r="D6" s="11">
        <v>1.49</v>
      </c>
      <c r="E6" s="9">
        <f t="shared" si="1"/>
        <v>600</v>
      </c>
      <c r="F6" s="11">
        <v>1.94</v>
      </c>
      <c r="G6" s="12">
        <f t="shared" si="2"/>
        <v>600</v>
      </c>
      <c r="H6" s="11">
        <v>1.86</v>
      </c>
      <c r="J6" s="9">
        <v>600</v>
      </c>
      <c r="K6" s="10">
        <v>1.62</v>
      </c>
      <c r="L6" s="9">
        <f t="shared" si="0"/>
        <v>600</v>
      </c>
      <c r="M6" s="11">
        <v>2</v>
      </c>
      <c r="N6" s="12">
        <f t="shared" si="0"/>
        <v>600</v>
      </c>
      <c r="O6" s="11">
        <v>2</v>
      </c>
    </row>
    <row r="7" spans="2:15" x14ac:dyDescent="0.3">
      <c r="B7" s="210"/>
      <c r="C7" s="9">
        <v>650</v>
      </c>
      <c r="D7" s="11">
        <v>1.41</v>
      </c>
      <c r="E7" s="9">
        <f t="shared" si="1"/>
        <v>650</v>
      </c>
      <c r="F7" s="11">
        <v>1.91</v>
      </c>
      <c r="G7" s="12">
        <f t="shared" si="2"/>
        <v>650</v>
      </c>
      <c r="H7" s="11">
        <v>1.82</v>
      </c>
      <c r="J7" s="9">
        <v>650</v>
      </c>
      <c r="K7" s="10">
        <v>1.57</v>
      </c>
      <c r="L7" s="9">
        <f t="shared" si="0"/>
        <v>650</v>
      </c>
      <c r="M7" s="11">
        <v>2</v>
      </c>
      <c r="N7" s="12">
        <f t="shared" si="0"/>
        <v>650</v>
      </c>
      <c r="O7" s="11">
        <v>1.97</v>
      </c>
    </row>
    <row r="8" spans="2:15" x14ac:dyDescent="0.3">
      <c r="B8" s="210"/>
      <c r="C8" s="9">
        <v>700</v>
      </c>
      <c r="D8" s="11">
        <v>1.34</v>
      </c>
      <c r="E8" s="9">
        <f t="shared" si="1"/>
        <v>700</v>
      </c>
      <c r="F8" s="11">
        <v>1.87</v>
      </c>
      <c r="G8" s="12">
        <f t="shared" si="2"/>
        <v>700</v>
      </c>
      <c r="H8" s="11">
        <v>1.78</v>
      </c>
      <c r="J8" s="9">
        <v>700</v>
      </c>
      <c r="K8" s="10">
        <v>1.53</v>
      </c>
      <c r="L8" s="9">
        <f t="shared" si="0"/>
        <v>700</v>
      </c>
      <c r="M8" s="11">
        <v>2</v>
      </c>
      <c r="N8" s="12">
        <f t="shared" si="0"/>
        <v>700</v>
      </c>
      <c r="O8" s="11">
        <v>1.94</v>
      </c>
    </row>
    <row r="9" spans="2:15" x14ac:dyDescent="0.3">
      <c r="B9" s="210"/>
      <c r="C9" s="9">
        <v>750</v>
      </c>
      <c r="D9" s="11">
        <v>0</v>
      </c>
      <c r="E9" s="9">
        <f t="shared" si="1"/>
        <v>750</v>
      </c>
      <c r="F9" s="11">
        <v>1.82</v>
      </c>
      <c r="G9" s="12">
        <f t="shared" si="2"/>
        <v>750</v>
      </c>
      <c r="H9" s="11">
        <v>1.74</v>
      </c>
      <c r="J9" s="9">
        <v>750</v>
      </c>
      <c r="K9" s="11">
        <v>1.49</v>
      </c>
      <c r="L9" s="9">
        <f t="shared" si="0"/>
        <v>750</v>
      </c>
      <c r="M9" s="11">
        <v>1.97</v>
      </c>
      <c r="N9" s="12">
        <f t="shared" si="0"/>
        <v>750</v>
      </c>
      <c r="O9" s="11">
        <v>1.91</v>
      </c>
    </row>
    <row r="10" spans="2:15" x14ac:dyDescent="0.3">
      <c r="B10" s="210"/>
      <c r="C10" s="9">
        <v>800</v>
      </c>
      <c r="D10" s="11">
        <v>0</v>
      </c>
      <c r="E10" s="9">
        <f t="shared" si="1"/>
        <v>800</v>
      </c>
      <c r="F10" s="11">
        <v>1.77</v>
      </c>
      <c r="G10" s="12">
        <f t="shared" si="2"/>
        <v>800</v>
      </c>
      <c r="H10" s="11">
        <v>1.7</v>
      </c>
      <c r="J10" s="9">
        <v>800</v>
      </c>
      <c r="K10" s="10">
        <v>1.44</v>
      </c>
      <c r="L10" s="9">
        <f t="shared" si="0"/>
        <v>800</v>
      </c>
      <c r="M10" s="11">
        <v>1.94</v>
      </c>
      <c r="N10" s="12">
        <f t="shared" si="0"/>
        <v>800</v>
      </c>
      <c r="O10" s="11">
        <v>1.88</v>
      </c>
    </row>
    <row r="11" spans="2:15" x14ac:dyDescent="0.3">
      <c r="B11" s="210"/>
      <c r="C11" s="9">
        <v>850</v>
      </c>
      <c r="D11" s="11">
        <v>0</v>
      </c>
      <c r="E11" s="9">
        <f t="shared" si="1"/>
        <v>850</v>
      </c>
      <c r="F11" s="11">
        <v>1.71</v>
      </c>
      <c r="G11" s="12">
        <f t="shared" si="2"/>
        <v>850</v>
      </c>
      <c r="H11" s="11">
        <v>1.67</v>
      </c>
      <c r="J11" s="9">
        <v>850</v>
      </c>
      <c r="K11" s="10">
        <v>1.4</v>
      </c>
      <c r="L11" s="9">
        <f t="shared" si="0"/>
        <v>850</v>
      </c>
      <c r="M11" s="11">
        <v>1.91</v>
      </c>
      <c r="N11" s="12">
        <f t="shared" si="0"/>
        <v>850</v>
      </c>
      <c r="O11" s="11">
        <v>1.86</v>
      </c>
    </row>
    <row r="12" spans="2:15" x14ac:dyDescent="0.3">
      <c r="B12" s="210"/>
      <c r="C12" s="9">
        <v>900</v>
      </c>
      <c r="D12" s="11">
        <v>0</v>
      </c>
      <c r="E12" s="9">
        <f t="shared" si="1"/>
        <v>900</v>
      </c>
      <c r="F12" s="11">
        <v>1.65</v>
      </c>
      <c r="G12" s="12">
        <f t="shared" si="2"/>
        <v>900</v>
      </c>
      <c r="H12" s="11">
        <v>1.64</v>
      </c>
      <c r="J12" s="9">
        <v>900</v>
      </c>
      <c r="K12" s="10">
        <v>1.37</v>
      </c>
      <c r="L12" s="9">
        <f t="shared" si="0"/>
        <v>900</v>
      </c>
      <c r="M12" s="11">
        <v>1.88</v>
      </c>
      <c r="N12" s="12">
        <f t="shared" si="0"/>
        <v>900</v>
      </c>
      <c r="O12" s="11">
        <v>1.83</v>
      </c>
    </row>
    <row r="13" spans="2:15" x14ac:dyDescent="0.3">
      <c r="B13" s="210"/>
      <c r="C13" s="9">
        <v>950</v>
      </c>
      <c r="D13" s="11">
        <v>0</v>
      </c>
      <c r="E13" s="9">
        <f t="shared" si="1"/>
        <v>950</v>
      </c>
      <c r="F13" s="11">
        <v>1.58</v>
      </c>
      <c r="G13" s="12">
        <f t="shared" si="2"/>
        <v>950</v>
      </c>
      <c r="H13" s="11">
        <v>1.61</v>
      </c>
      <c r="J13" s="9">
        <v>950</v>
      </c>
      <c r="K13" s="11">
        <v>1.34</v>
      </c>
      <c r="L13" s="9">
        <f t="shared" si="0"/>
        <v>950</v>
      </c>
      <c r="M13" s="11">
        <v>1.85</v>
      </c>
      <c r="N13" s="12">
        <f t="shared" si="0"/>
        <v>950</v>
      </c>
      <c r="O13" s="11">
        <v>1.8</v>
      </c>
    </row>
    <row r="14" spans="2:15" x14ac:dyDescent="0.3">
      <c r="B14" s="210"/>
      <c r="C14" s="9">
        <v>1000</v>
      </c>
      <c r="D14" s="11">
        <v>0</v>
      </c>
      <c r="E14" s="9">
        <f t="shared" si="1"/>
        <v>1000</v>
      </c>
      <c r="F14" s="11">
        <v>1.51</v>
      </c>
      <c r="G14" s="12">
        <f t="shared" si="2"/>
        <v>1000</v>
      </c>
      <c r="H14" s="11">
        <v>1.57</v>
      </c>
      <c r="J14" s="9">
        <v>1000</v>
      </c>
      <c r="K14" s="10">
        <v>1.31</v>
      </c>
      <c r="L14" s="9">
        <f t="shared" si="0"/>
        <v>1000</v>
      </c>
      <c r="M14" s="11">
        <v>1.81</v>
      </c>
      <c r="N14" s="12">
        <f t="shared" si="0"/>
        <v>1000</v>
      </c>
      <c r="O14" s="11">
        <v>1.77</v>
      </c>
    </row>
    <row r="15" spans="2:15" x14ac:dyDescent="0.3">
      <c r="B15" s="211"/>
      <c r="C15" s="21">
        <v>1050</v>
      </c>
      <c r="D15" s="138">
        <v>0</v>
      </c>
      <c r="E15" s="21">
        <f t="shared" si="1"/>
        <v>1050</v>
      </c>
      <c r="F15" s="11">
        <v>1.45</v>
      </c>
      <c r="G15" s="23">
        <f t="shared" si="2"/>
        <v>1050</v>
      </c>
      <c r="H15" s="11">
        <v>1.54</v>
      </c>
      <c r="J15" s="21">
        <v>1050</v>
      </c>
      <c r="K15" s="22">
        <v>0</v>
      </c>
      <c r="L15" s="21">
        <f t="shared" si="0"/>
        <v>1050</v>
      </c>
      <c r="M15" s="11">
        <v>1.78</v>
      </c>
      <c r="N15" s="23">
        <f t="shared" si="0"/>
        <v>1050</v>
      </c>
      <c r="O15" s="11">
        <v>1.74</v>
      </c>
    </row>
    <row r="16" spans="2:15" x14ac:dyDescent="0.3">
      <c r="B16" s="211"/>
      <c r="C16" s="9">
        <v>1100</v>
      </c>
      <c r="D16" s="138">
        <v>0</v>
      </c>
      <c r="E16" s="21">
        <f t="shared" si="1"/>
        <v>1100</v>
      </c>
      <c r="F16" s="138">
        <v>1.38</v>
      </c>
      <c r="G16" s="23">
        <f t="shared" si="2"/>
        <v>1100</v>
      </c>
      <c r="H16" s="138">
        <v>1.51</v>
      </c>
      <c r="J16" s="9">
        <v>1100</v>
      </c>
      <c r="K16" s="22">
        <v>0</v>
      </c>
      <c r="L16" s="21">
        <f t="shared" si="0"/>
        <v>1100</v>
      </c>
      <c r="M16" s="138">
        <v>1.75</v>
      </c>
      <c r="N16" s="23">
        <f t="shared" si="0"/>
        <v>1100</v>
      </c>
      <c r="O16" s="138">
        <v>1.71</v>
      </c>
    </row>
    <row r="17" spans="2:19" x14ac:dyDescent="0.3">
      <c r="B17" s="211"/>
      <c r="C17" s="21">
        <v>1150</v>
      </c>
      <c r="D17" s="138">
        <v>0</v>
      </c>
      <c r="E17" s="21">
        <f t="shared" si="1"/>
        <v>1150</v>
      </c>
      <c r="F17" s="138">
        <v>0</v>
      </c>
      <c r="G17" s="23">
        <f t="shared" si="2"/>
        <v>1150</v>
      </c>
      <c r="H17" s="138">
        <f>ROUND(H16+(H19-H16)/3,2)</f>
        <v>1.47</v>
      </c>
      <c r="J17" s="21">
        <v>1150</v>
      </c>
      <c r="K17" s="22">
        <v>0</v>
      </c>
      <c r="L17" s="21">
        <f t="shared" si="0"/>
        <v>1150</v>
      </c>
      <c r="M17" s="139">
        <f>M16-0.03</f>
        <v>1.72</v>
      </c>
      <c r="N17" s="23">
        <f t="shared" si="0"/>
        <v>1150</v>
      </c>
      <c r="O17" s="139">
        <f>O16-0.03</f>
        <v>1.68</v>
      </c>
      <c r="Q17" s="141" t="s">
        <v>198</v>
      </c>
      <c r="R17" s="141"/>
      <c r="S17" s="141"/>
    </row>
    <row r="18" spans="2:19" x14ac:dyDescent="0.3">
      <c r="B18" s="211"/>
      <c r="C18" s="9">
        <v>1200</v>
      </c>
      <c r="D18" s="138">
        <v>0</v>
      </c>
      <c r="E18" s="21">
        <f t="shared" si="1"/>
        <v>1200</v>
      </c>
      <c r="F18" s="138">
        <v>0</v>
      </c>
      <c r="G18" s="23">
        <f t="shared" si="2"/>
        <v>1200</v>
      </c>
      <c r="H18" s="138">
        <f>ROUND(H16+2*(H19-H16)/3,2)</f>
        <v>1.44</v>
      </c>
      <c r="J18" s="9">
        <v>1200</v>
      </c>
      <c r="K18" s="22">
        <v>0</v>
      </c>
      <c r="L18" s="21">
        <f t="shared" si="0"/>
        <v>1200</v>
      </c>
      <c r="M18" s="139">
        <f t="shared" ref="M18:M19" si="3">M17-0.03</f>
        <v>1.69</v>
      </c>
      <c r="N18" s="23">
        <f t="shared" si="0"/>
        <v>1200</v>
      </c>
      <c r="O18" s="139">
        <f t="shared" ref="O18:O19" si="4">O17-0.03</f>
        <v>1.65</v>
      </c>
    </row>
    <row r="19" spans="2:19" ht="15" thickBot="1" x14ac:dyDescent="0.35">
      <c r="B19" s="212"/>
      <c r="C19" s="13">
        <v>1250</v>
      </c>
      <c r="D19" s="15">
        <v>0</v>
      </c>
      <c r="E19" s="13">
        <f t="shared" si="1"/>
        <v>1250</v>
      </c>
      <c r="F19" s="15">
        <v>0</v>
      </c>
      <c r="G19" s="16">
        <f t="shared" si="2"/>
        <v>1250</v>
      </c>
      <c r="H19" s="15">
        <v>1.4</v>
      </c>
      <c r="J19" s="13">
        <v>1250</v>
      </c>
      <c r="K19" s="14">
        <v>0</v>
      </c>
      <c r="L19" s="13">
        <f t="shared" si="0"/>
        <v>1250</v>
      </c>
      <c r="M19" s="140">
        <f t="shared" si="3"/>
        <v>1.66</v>
      </c>
      <c r="N19" s="16">
        <f t="shared" si="0"/>
        <v>1250</v>
      </c>
      <c r="O19" s="140">
        <f t="shared" si="4"/>
        <v>1.6199999999999999</v>
      </c>
    </row>
    <row r="20" spans="2:19" ht="15" thickBot="1" x14ac:dyDescent="0.35"/>
    <row r="21" spans="2:19" x14ac:dyDescent="0.3">
      <c r="B21" s="67" t="s">
        <v>82</v>
      </c>
      <c r="C21" s="30">
        <f>IF(C23&lt;C3,C3,MROUND(C23,50))</f>
        <v>550</v>
      </c>
      <c r="D21" s="31">
        <f>VLOOKUP(C$21,C3:D19,2,FALSE)</f>
        <v>1.55</v>
      </c>
      <c r="E21" s="30">
        <f>IF(E23&lt;E3,E3,MROUND(E23,50))</f>
        <v>550</v>
      </c>
      <c r="F21" s="31">
        <f>VLOOKUP(E$21,E3:F19,2,FALSE)</f>
        <v>1.97</v>
      </c>
      <c r="G21" s="30">
        <f>IF(G23&lt;G3,G3,MROUND(G23,50))</f>
        <v>550</v>
      </c>
      <c r="H21" s="32">
        <f>VLOOKUP(G$21,G3:H19,2,FALSE)</f>
        <v>1.91</v>
      </c>
      <c r="I21" s="4"/>
      <c r="J21" s="34">
        <f>IF(J23&lt;J3,J3,MROUND(J23,50))</f>
        <v>550</v>
      </c>
      <c r="K21" s="73">
        <f>VLOOKUP(J$21,J3:K19,2,FALSE)</f>
        <v>1.67</v>
      </c>
      <c r="L21" s="30">
        <f>IF(L23&lt;L3,L3,MROUND(L23,50))</f>
        <v>550</v>
      </c>
      <c r="M21" s="73">
        <f>VLOOKUP(L$21,L3:M19,2,FALSE)</f>
        <v>2</v>
      </c>
      <c r="N21" s="30">
        <f>IF(N23&lt;N3,N3,MROUND(N23,50))</f>
        <v>550</v>
      </c>
      <c r="O21" s="19">
        <f>VLOOKUP(N$21,N3:O19,2,FALSE)</f>
        <v>2</v>
      </c>
    </row>
    <row r="22" spans="2:19" x14ac:dyDescent="0.3">
      <c r="B22" s="68" t="s">
        <v>83</v>
      </c>
      <c r="C22" s="26">
        <f>IF(C23&gt;C21,C21+50,IF(C21-50&lt;C3,C3,C21-50))</f>
        <v>500</v>
      </c>
      <c r="D22" s="27">
        <f>VLOOKUP(C$22,C3:D19,2,FALSE)</f>
        <v>1.61</v>
      </c>
      <c r="E22" s="26">
        <f>IF(E23&gt;E21,E21+50,IF(E21-50&lt;E3,E3,E21-50))</f>
        <v>500</v>
      </c>
      <c r="F22" s="27">
        <f>VLOOKUP(E$22,E3:F19,2,FALSE)</f>
        <v>2</v>
      </c>
      <c r="G22" s="26">
        <f>IF(G23&gt;G21,G21+50,IF(G21-50&lt;G3,G3,G21-50))</f>
        <v>500</v>
      </c>
      <c r="H22" s="33">
        <f>VLOOKUP(G$22,G3:H19,2,FALSE)</f>
        <v>1.96</v>
      </c>
      <c r="I22" s="4"/>
      <c r="J22" s="35">
        <f>IF(J23&gt;J21,J21+50,IF(J21-50&lt;J3,J3,J21-50))</f>
        <v>500</v>
      </c>
      <c r="K22" s="25">
        <f>VLOOKUP(J$22,J3:K19,2,FALSE)</f>
        <v>1.72</v>
      </c>
      <c r="L22" s="26">
        <f>IF(L23&gt;L21,L21+50,IF(L21-50&lt;L3,L3,L21-50))</f>
        <v>500</v>
      </c>
      <c r="M22" s="25">
        <f>VLOOKUP(L$22,L3:M19,2,FALSE)</f>
        <v>2</v>
      </c>
      <c r="N22" s="26">
        <f>IF(N23&gt;N21,N21+50,IF(N21-50&lt;N3,N3,N21-50))</f>
        <v>500</v>
      </c>
      <c r="O22" s="11">
        <f>VLOOKUP(N$22,N3:O19,2,FALSE)</f>
        <v>2</v>
      </c>
    </row>
    <row r="23" spans="2:19" ht="15" thickBot="1" x14ac:dyDescent="0.35">
      <c r="B23" s="69" t="s">
        <v>84</v>
      </c>
      <c r="C23" s="70">
        <f>$B$59</f>
        <v>528.97835858172834</v>
      </c>
      <c r="D23" s="71">
        <f>IF(C21=C22,D21,IF(C23&gt;C8,0,D21+(D22-D21)/(C22-C21)*(C23-C21)))</f>
        <v>1.575225969701926</v>
      </c>
      <c r="E23" s="70">
        <f>$B$59</f>
        <v>528.97835858172834</v>
      </c>
      <c r="F23" s="71">
        <f>IF(E21=E22,F21,IF(E23&gt;E16,0,F21+(F22-F21)/(E22-E21)*(E23-E21)))</f>
        <v>1.982612984850963</v>
      </c>
      <c r="G23" s="70">
        <f>$B$59</f>
        <v>528.97835858172834</v>
      </c>
      <c r="H23" s="72">
        <f>IF(G21=G22,H21,IF(G23&gt;G19,0,H21+(H22-H21)/(G22-G21)*(G23-G21)))</f>
        <v>1.9310216414182717</v>
      </c>
      <c r="I23" s="66"/>
      <c r="J23" s="74">
        <f>$B$59</f>
        <v>528.97835858172834</v>
      </c>
      <c r="K23" s="71">
        <f>IF(J21=J22,K21,IF(J23&gt;J14,0,K21+(K22-K21)/(J22-J21)*(J23-J21)))</f>
        <v>1.6910216414182715</v>
      </c>
      <c r="L23" s="70">
        <f>$B$59</f>
        <v>528.97835858172834</v>
      </c>
      <c r="M23" s="71">
        <f>IF(L21=L22,M21,IF(L23&gt;L19,0,M21+(M22-M21)/(L22-L21)*(L23-L21)))</f>
        <v>2</v>
      </c>
      <c r="N23" s="70">
        <f>$B$59</f>
        <v>528.97835858172834</v>
      </c>
      <c r="O23" s="72">
        <f>IF(N21=N22,O21,IF(N23&gt;N19,0,O21+(O22-O21)/(N22-N21)*(N23-N21)))</f>
        <v>2</v>
      </c>
    </row>
    <row r="25" spans="2:19" ht="15" thickBot="1" x14ac:dyDescent="0.35"/>
    <row r="26" spans="2:19" ht="14.4" customHeight="1" x14ac:dyDescent="0.3">
      <c r="B26" s="213" t="s">
        <v>76</v>
      </c>
      <c r="C26" s="9">
        <v>500</v>
      </c>
      <c r="D26" s="18">
        <v>2</v>
      </c>
      <c r="E26" s="17">
        <f>C26</f>
        <v>500</v>
      </c>
      <c r="F26" s="19">
        <v>2</v>
      </c>
      <c r="G26" s="20">
        <f>C26</f>
        <v>500</v>
      </c>
      <c r="H26" s="19">
        <v>2</v>
      </c>
      <c r="J26" s="17">
        <f>C26</f>
        <v>500</v>
      </c>
      <c r="K26" s="18">
        <v>2</v>
      </c>
      <c r="L26" s="17">
        <f>J26</f>
        <v>500</v>
      </c>
      <c r="M26" s="19">
        <v>2</v>
      </c>
      <c r="N26" s="20">
        <f>J26</f>
        <v>500</v>
      </c>
      <c r="O26" s="19">
        <v>2</v>
      </c>
    </row>
    <row r="27" spans="2:19" ht="14.4" customHeight="1" x14ac:dyDescent="0.3">
      <c r="B27" s="214"/>
      <c r="C27" s="9">
        <v>550</v>
      </c>
      <c r="D27" s="11">
        <f>AVERAGE(D26,D28)</f>
        <v>2</v>
      </c>
      <c r="E27" s="5">
        <f>C27</f>
        <v>550</v>
      </c>
      <c r="F27" s="11">
        <f>ROUND(AVERAGE(F26,F28),2)</f>
        <v>1.95</v>
      </c>
      <c r="G27" s="8">
        <f>C27</f>
        <v>550</v>
      </c>
      <c r="H27" s="11">
        <f>ROUND(AVERAGE(H26,H28),2)</f>
        <v>1.99</v>
      </c>
      <c r="J27" s="5">
        <f>C27</f>
        <v>550</v>
      </c>
      <c r="K27" s="11">
        <v>2</v>
      </c>
      <c r="L27" s="5">
        <f>J27</f>
        <v>550</v>
      </c>
      <c r="M27" s="11">
        <v>2</v>
      </c>
      <c r="N27" s="8">
        <f>J27</f>
        <v>550</v>
      </c>
      <c r="O27" s="11">
        <v>2</v>
      </c>
    </row>
    <row r="28" spans="2:19" x14ac:dyDescent="0.3">
      <c r="B28" s="214"/>
      <c r="C28" s="9">
        <v>600</v>
      </c>
      <c r="D28" s="10">
        <v>2</v>
      </c>
      <c r="E28" s="9">
        <f t="shared" ref="E28:E41" si="5">C28</f>
        <v>600</v>
      </c>
      <c r="F28" s="11">
        <v>1.9</v>
      </c>
      <c r="G28" s="12">
        <f t="shared" ref="G28:G41" si="6">C28</f>
        <v>600</v>
      </c>
      <c r="H28" s="11">
        <v>1.98</v>
      </c>
      <c r="J28" s="9">
        <f>C28</f>
        <v>600</v>
      </c>
      <c r="K28" s="10">
        <v>2</v>
      </c>
      <c r="L28" s="9">
        <f t="shared" ref="L28:L41" si="7">J28</f>
        <v>600</v>
      </c>
      <c r="M28" s="11">
        <v>2</v>
      </c>
      <c r="N28" s="12">
        <f t="shared" ref="N28:N40" si="8">J28</f>
        <v>600</v>
      </c>
      <c r="O28" s="11">
        <v>2</v>
      </c>
    </row>
    <row r="29" spans="2:19" x14ac:dyDescent="0.3">
      <c r="B29" s="214"/>
      <c r="C29" s="9">
        <v>650</v>
      </c>
      <c r="D29" s="10">
        <v>2</v>
      </c>
      <c r="E29" s="9">
        <f t="shared" si="5"/>
        <v>650</v>
      </c>
      <c r="F29" s="11">
        <v>1.88</v>
      </c>
      <c r="G29" s="12">
        <f t="shared" si="6"/>
        <v>650</v>
      </c>
      <c r="H29" s="11">
        <v>1.98</v>
      </c>
      <c r="J29" s="9">
        <f t="shared" ref="J29:J40" si="9">C29</f>
        <v>650</v>
      </c>
      <c r="K29" s="10">
        <v>2</v>
      </c>
      <c r="L29" s="9">
        <f t="shared" si="7"/>
        <v>650</v>
      </c>
      <c r="M29" s="11">
        <v>2</v>
      </c>
      <c r="N29" s="12">
        <f t="shared" si="8"/>
        <v>650</v>
      </c>
      <c r="O29" s="11">
        <v>2</v>
      </c>
    </row>
    <row r="30" spans="2:19" x14ac:dyDescent="0.3">
      <c r="B30" s="214"/>
      <c r="C30" s="9">
        <v>700</v>
      </c>
      <c r="D30" s="10">
        <v>2</v>
      </c>
      <c r="E30" s="9">
        <f t="shared" si="5"/>
        <v>700</v>
      </c>
      <c r="F30" s="11">
        <v>1.79</v>
      </c>
      <c r="G30" s="12">
        <f t="shared" si="6"/>
        <v>700</v>
      </c>
      <c r="H30" s="11">
        <v>1.95</v>
      </c>
      <c r="J30" s="9">
        <f t="shared" si="9"/>
        <v>700</v>
      </c>
      <c r="K30" s="10">
        <v>2</v>
      </c>
      <c r="L30" s="9">
        <f t="shared" si="7"/>
        <v>700</v>
      </c>
      <c r="M30" s="11">
        <v>2</v>
      </c>
      <c r="N30" s="12">
        <f t="shared" si="8"/>
        <v>700</v>
      </c>
      <c r="O30" s="11">
        <v>2</v>
      </c>
    </row>
    <row r="31" spans="2:19" x14ac:dyDescent="0.3">
      <c r="B31" s="214"/>
      <c r="C31" s="9">
        <v>750</v>
      </c>
      <c r="D31" s="10">
        <v>2</v>
      </c>
      <c r="E31" s="9">
        <f t="shared" si="5"/>
        <v>750</v>
      </c>
      <c r="F31" s="11">
        <f>ROUND(AVERAGE(F30,F32),2)</f>
        <v>1.7</v>
      </c>
      <c r="G31" s="12">
        <f t="shared" si="6"/>
        <v>750</v>
      </c>
      <c r="H31" s="11">
        <f>ROUND(AVERAGE(H30,H32),2)</f>
        <v>1.88</v>
      </c>
      <c r="J31" s="9">
        <f t="shared" si="9"/>
        <v>750</v>
      </c>
      <c r="K31" s="10">
        <v>2</v>
      </c>
      <c r="L31" s="9">
        <f t="shared" si="7"/>
        <v>750</v>
      </c>
      <c r="M31" s="11">
        <f>ROUND(AVERAGE(M30,M32),2)</f>
        <v>1.91</v>
      </c>
      <c r="N31" s="12">
        <f t="shared" si="8"/>
        <v>750</v>
      </c>
      <c r="O31" s="11">
        <f>ROUND(AVERAGE(O30,O32),2)</f>
        <v>1.95</v>
      </c>
    </row>
    <row r="32" spans="2:19" x14ac:dyDescent="0.3">
      <c r="B32" s="214"/>
      <c r="C32" s="9">
        <v>800</v>
      </c>
      <c r="D32" s="22">
        <v>2</v>
      </c>
      <c r="E32" s="9">
        <f t="shared" si="5"/>
        <v>800</v>
      </c>
      <c r="F32" s="138">
        <v>1.61</v>
      </c>
      <c r="G32" s="12">
        <f t="shared" si="6"/>
        <v>800</v>
      </c>
      <c r="H32" s="138">
        <v>1.8</v>
      </c>
      <c r="J32" s="9">
        <f t="shared" si="9"/>
        <v>800</v>
      </c>
      <c r="K32" s="22">
        <v>2</v>
      </c>
      <c r="L32" s="9">
        <f t="shared" si="7"/>
        <v>800</v>
      </c>
      <c r="M32" s="138">
        <v>1.82</v>
      </c>
      <c r="N32" s="12">
        <f t="shared" si="8"/>
        <v>800</v>
      </c>
      <c r="O32" s="138">
        <v>1.89</v>
      </c>
    </row>
    <row r="33" spans="1:15" x14ac:dyDescent="0.3">
      <c r="B33" s="214"/>
      <c r="C33" s="9">
        <v>850</v>
      </c>
      <c r="D33" s="22">
        <v>1.95</v>
      </c>
      <c r="E33" s="9">
        <f t="shared" si="5"/>
        <v>850</v>
      </c>
      <c r="F33" s="138">
        <v>1.51</v>
      </c>
      <c r="G33" s="12">
        <f t="shared" si="6"/>
        <v>850</v>
      </c>
      <c r="H33" s="138">
        <v>1.71</v>
      </c>
      <c r="J33" s="9">
        <f t="shared" si="9"/>
        <v>850</v>
      </c>
      <c r="K33" s="11">
        <f>ROUND(AVERAGE(K32,K34),2)</f>
        <v>1.94</v>
      </c>
      <c r="L33" s="9">
        <f t="shared" si="7"/>
        <v>850</v>
      </c>
      <c r="M33" s="11">
        <f>ROUND(AVERAGE(M32,M34),2)</f>
        <v>1.64</v>
      </c>
      <c r="N33" s="12">
        <f t="shared" si="8"/>
        <v>850</v>
      </c>
      <c r="O33" s="11">
        <f>ROUND(AVERAGE(O32,O34),2)</f>
        <v>1.78</v>
      </c>
    </row>
    <row r="34" spans="1:15" x14ac:dyDescent="0.3">
      <c r="B34" s="214"/>
      <c r="C34" s="9">
        <v>900</v>
      </c>
      <c r="D34" s="22">
        <v>1.83</v>
      </c>
      <c r="E34" s="9">
        <f t="shared" si="5"/>
        <v>900</v>
      </c>
      <c r="F34" s="138">
        <v>1.41</v>
      </c>
      <c r="G34" s="12">
        <f t="shared" si="6"/>
        <v>900</v>
      </c>
      <c r="H34" s="138">
        <v>1.62</v>
      </c>
      <c r="J34" s="9">
        <f t="shared" si="9"/>
        <v>900</v>
      </c>
      <c r="K34" s="22">
        <v>1.87</v>
      </c>
      <c r="L34" s="9">
        <f t="shared" si="7"/>
        <v>900</v>
      </c>
      <c r="M34" s="138">
        <v>1.46</v>
      </c>
      <c r="N34" s="12">
        <f t="shared" si="8"/>
        <v>900</v>
      </c>
      <c r="O34" s="138">
        <v>1.66</v>
      </c>
    </row>
    <row r="35" spans="1:15" x14ac:dyDescent="0.3">
      <c r="B35" s="214"/>
      <c r="C35" s="9">
        <v>950</v>
      </c>
      <c r="D35" s="22">
        <v>1.72</v>
      </c>
      <c r="E35" s="9">
        <f t="shared" si="5"/>
        <v>950</v>
      </c>
      <c r="F35" s="138">
        <v>0</v>
      </c>
      <c r="G35" s="12">
        <f t="shared" si="6"/>
        <v>950</v>
      </c>
      <c r="H35" s="138">
        <v>1.51</v>
      </c>
      <c r="J35" s="9">
        <f t="shared" si="9"/>
        <v>950</v>
      </c>
      <c r="K35" s="11">
        <f>ROUND(AVERAGE(K34,K36),2)</f>
        <v>1.78</v>
      </c>
      <c r="L35" s="9">
        <f t="shared" si="7"/>
        <v>950</v>
      </c>
      <c r="M35" s="138">
        <v>0</v>
      </c>
      <c r="N35" s="12">
        <f t="shared" si="8"/>
        <v>950</v>
      </c>
      <c r="O35" s="11">
        <f>ROUND(AVERAGE(O34,O36),2)</f>
        <v>1.55</v>
      </c>
    </row>
    <row r="36" spans="1:15" x14ac:dyDescent="0.3">
      <c r="B36" s="214"/>
      <c r="C36" s="9">
        <v>1000</v>
      </c>
      <c r="D36" s="22">
        <v>1.62</v>
      </c>
      <c r="E36" s="9">
        <f t="shared" si="5"/>
        <v>1000</v>
      </c>
      <c r="F36" s="138">
        <v>0</v>
      </c>
      <c r="G36" s="12">
        <f t="shared" si="6"/>
        <v>1000</v>
      </c>
      <c r="H36" s="138">
        <v>1.41</v>
      </c>
      <c r="J36" s="9">
        <f t="shared" si="9"/>
        <v>1000</v>
      </c>
      <c r="K36" s="22">
        <v>1.69</v>
      </c>
      <c r="L36" s="9">
        <f t="shared" si="7"/>
        <v>1000</v>
      </c>
      <c r="M36" s="138">
        <v>0</v>
      </c>
      <c r="N36" s="12">
        <f t="shared" si="8"/>
        <v>1000</v>
      </c>
      <c r="O36" s="138">
        <v>1.43</v>
      </c>
    </row>
    <row r="37" spans="1:15" x14ac:dyDescent="0.3">
      <c r="B37" s="214"/>
      <c r="C37" s="21">
        <v>1050</v>
      </c>
      <c r="D37" s="22">
        <v>1.53</v>
      </c>
      <c r="E37" s="9">
        <f t="shared" si="5"/>
        <v>1050</v>
      </c>
      <c r="F37" s="138">
        <v>0</v>
      </c>
      <c r="G37" s="12">
        <f t="shared" si="6"/>
        <v>1050</v>
      </c>
      <c r="H37" s="138">
        <v>1.31</v>
      </c>
      <c r="J37" s="9">
        <f t="shared" si="9"/>
        <v>1050</v>
      </c>
      <c r="K37" s="11">
        <f>ROUND(AVERAGE(K36,K38),2)</f>
        <v>1.6</v>
      </c>
      <c r="L37" s="9">
        <f t="shared" si="7"/>
        <v>1050</v>
      </c>
      <c r="M37" s="138">
        <v>0</v>
      </c>
      <c r="N37" s="12">
        <f t="shared" si="8"/>
        <v>1050</v>
      </c>
      <c r="O37" s="138">
        <v>0</v>
      </c>
    </row>
    <row r="38" spans="1:15" x14ac:dyDescent="0.3">
      <c r="B38" s="214"/>
      <c r="C38" s="9">
        <v>1100</v>
      </c>
      <c r="D38" s="22">
        <v>1.46</v>
      </c>
      <c r="E38" s="9">
        <f t="shared" si="5"/>
        <v>1100</v>
      </c>
      <c r="F38" s="138">
        <v>0</v>
      </c>
      <c r="G38" s="12">
        <f t="shared" si="6"/>
        <v>1100</v>
      </c>
      <c r="H38" s="138">
        <v>0</v>
      </c>
      <c r="J38" s="9">
        <f t="shared" si="9"/>
        <v>1100</v>
      </c>
      <c r="K38" s="22">
        <v>1.51</v>
      </c>
      <c r="L38" s="9">
        <f t="shared" si="7"/>
        <v>1100</v>
      </c>
      <c r="M38" s="138">
        <v>0</v>
      </c>
      <c r="N38" s="12">
        <f t="shared" si="8"/>
        <v>1100</v>
      </c>
      <c r="O38" s="138">
        <v>0</v>
      </c>
    </row>
    <row r="39" spans="1:15" x14ac:dyDescent="0.3">
      <c r="B39" s="214"/>
      <c r="C39" s="21">
        <v>1150</v>
      </c>
      <c r="D39" s="22">
        <v>0</v>
      </c>
      <c r="E39" s="9">
        <f t="shared" si="5"/>
        <v>1150</v>
      </c>
      <c r="F39" s="138">
        <v>0</v>
      </c>
      <c r="G39" s="12">
        <f t="shared" si="6"/>
        <v>1150</v>
      </c>
      <c r="H39" s="138">
        <v>0</v>
      </c>
      <c r="J39" s="9">
        <f t="shared" si="9"/>
        <v>1150</v>
      </c>
      <c r="K39" s="22">
        <v>0</v>
      </c>
      <c r="L39" s="9">
        <f t="shared" si="7"/>
        <v>1150</v>
      </c>
      <c r="M39" s="138">
        <v>0</v>
      </c>
      <c r="N39" s="12">
        <f t="shared" si="8"/>
        <v>1150</v>
      </c>
      <c r="O39" s="138">
        <v>0</v>
      </c>
    </row>
    <row r="40" spans="1:15" x14ac:dyDescent="0.3">
      <c r="B40" s="214"/>
      <c r="C40" s="9">
        <v>1200</v>
      </c>
      <c r="D40" s="22">
        <v>0</v>
      </c>
      <c r="E40" s="9">
        <f t="shared" si="5"/>
        <v>1200</v>
      </c>
      <c r="F40" s="138">
        <v>0</v>
      </c>
      <c r="G40" s="12">
        <f t="shared" si="6"/>
        <v>1200</v>
      </c>
      <c r="H40" s="138">
        <v>0</v>
      </c>
      <c r="J40" s="9">
        <f t="shared" si="9"/>
        <v>1200</v>
      </c>
      <c r="K40" s="22">
        <v>0</v>
      </c>
      <c r="L40" s="9">
        <f t="shared" si="7"/>
        <v>1200</v>
      </c>
      <c r="M40" s="138">
        <v>0</v>
      </c>
      <c r="N40" s="12">
        <f t="shared" si="8"/>
        <v>1200</v>
      </c>
      <c r="O40" s="138">
        <v>0</v>
      </c>
    </row>
    <row r="41" spans="1:15" ht="15" thickBot="1" x14ac:dyDescent="0.35">
      <c r="B41" s="215"/>
      <c r="C41" s="13">
        <v>1250</v>
      </c>
      <c r="D41" s="14">
        <v>0</v>
      </c>
      <c r="E41" s="13">
        <f t="shared" si="5"/>
        <v>1250</v>
      </c>
      <c r="F41" s="15">
        <v>0</v>
      </c>
      <c r="G41" s="16">
        <f t="shared" si="6"/>
        <v>1250</v>
      </c>
      <c r="H41" s="15">
        <v>0</v>
      </c>
      <c r="J41" s="13">
        <f>C41</f>
        <v>1250</v>
      </c>
      <c r="K41" s="14">
        <v>0</v>
      </c>
      <c r="L41" s="13">
        <f t="shared" si="7"/>
        <v>1250</v>
      </c>
      <c r="M41" s="15">
        <v>0</v>
      </c>
      <c r="N41" s="16">
        <f>J41</f>
        <v>1250</v>
      </c>
      <c r="O41" s="15">
        <v>0</v>
      </c>
    </row>
    <row r="42" spans="1:15" ht="15" thickBot="1" x14ac:dyDescent="0.35"/>
    <row r="43" spans="1:15" x14ac:dyDescent="0.3">
      <c r="A43" s="216" t="s">
        <v>86</v>
      </c>
      <c r="B43" s="29" t="s">
        <v>82</v>
      </c>
      <c r="C43" s="30">
        <f>IF(C45&lt;C26,C26,MROUND(C45,50))</f>
        <v>500</v>
      </c>
      <c r="D43" s="31">
        <f>VLOOKUP(C$43,C26:D41,2,FALSE)</f>
        <v>2</v>
      </c>
      <c r="E43" s="30">
        <f>IF(E45&lt;E26,E26,MROUND(E45,50))</f>
        <v>500</v>
      </c>
      <c r="F43" s="31">
        <f>VLOOKUP(E$43,E26:F41,2,FALSE)</f>
        <v>2</v>
      </c>
      <c r="G43" s="30">
        <f>IF(G45&lt;G26,G26,MROUND(G45,50))</f>
        <v>500</v>
      </c>
      <c r="H43" s="32">
        <f>VLOOKUP(G$43,G26:H41,2,FALSE)</f>
        <v>2</v>
      </c>
      <c r="J43" s="34">
        <f>IF(J45&lt;J26,J26,MROUND(J45,50))</f>
        <v>500</v>
      </c>
      <c r="K43" s="31">
        <f>VLOOKUP(J$43,J26:K41,2,FALSE)</f>
        <v>2</v>
      </c>
      <c r="L43" s="30">
        <f>IF(L45&lt;L26,L26,MROUND(L45,50))</f>
        <v>500</v>
      </c>
      <c r="M43" s="31">
        <f>VLOOKUP(L$43,L26:M41,2,FALSE)</f>
        <v>2</v>
      </c>
      <c r="N43" s="30">
        <f>IF(N45&lt;N26,N26,MROUND(N45,50))</f>
        <v>500</v>
      </c>
      <c r="O43" s="32">
        <f>VLOOKUP(N$43,N26:O41,2,FALSE)</f>
        <v>2</v>
      </c>
    </row>
    <row r="44" spans="1:15" x14ac:dyDescent="0.3">
      <c r="A44" s="217"/>
      <c r="B44" s="28" t="s">
        <v>83</v>
      </c>
      <c r="C44" s="26">
        <f>IF(C45&gt;C43,C43+50,IF(C43-50&lt;C26,C26,C43-50))</f>
        <v>500</v>
      </c>
      <c r="D44" s="27">
        <f>VLOOKUP(C$44,C26:D41,2,FALSE)</f>
        <v>2</v>
      </c>
      <c r="E44" s="26">
        <f>IF(E45&gt;E43,E43+50,IF(E43-50&lt;E26,E26,E43-50))</f>
        <v>500</v>
      </c>
      <c r="F44" s="27">
        <f>VLOOKUP(E$44,E26:F41,2,FALSE)</f>
        <v>2</v>
      </c>
      <c r="G44" s="26">
        <f>IF(G45&gt;G43,G43+50,IF(G43-50&lt;G26,G26,G43-50))</f>
        <v>500</v>
      </c>
      <c r="H44" s="33">
        <f>VLOOKUP(G$44,G26:H41,2,FALSE)</f>
        <v>2</v>
      </c>
      <c r="J44" s="35">
        <f>IF(J45&gt;J43,J43+50,IF(J43-50&lt;J26,J26,J43-50))</f>
        <v>500</v>
      </c>
      <c r="K44" s="27">
        <f>VLOOKUP(J$44,J26:K41,2,FALSE)</f>
        <v>2</v>
      </c>
      <c r="L44" s="26">
        <f>IF(L45&gt;L43,L43+50,IF(L43-50&lt;L26,L26,L43-50))</f>
        <v>500</v>
      </c>
      <c r="M44" s="27">
        <f>VLOOKUP(L$44,L26:M41,2,FALSE)</f>
        <v>2</v>
      </c>
      <c r="N44" s="26">
        <f>IF(N45&gt;N43,N43+50,IF(N43-50&lt;N26,N26,N43-50))</f>
        <v>500</v>
      </c>
      <c r="O44" s="33">
        <f>VLOOKUP(N$44,N26:O41,2,FALSE)</f>
        <v>2</v>
      </c>
    </row>
    <row r="45" spans="1:15" ht="15" thickBot="1" x14ac:dyDescent="0.35">
      <c r="A45" s="218"/>
      <c r="B45" s="46" t="s">
        <v>84</v>
      </c>
      <c r="C45" s="47">
        <f>ABS($B$61)</f>
        <v>278.71394911057934</v>
      </c>
      <c r="D45" s="48">
        <f>IF(C43=C44,D43,IF(C45&gt;C38,0,D43+(D44-D43)/(C44-C43)*(C45-C43)))</f>
        <v>2</v>
      </c>
      <c r="E45" s="47">
        <f>C45</f>
        <v>278.71394911057934</v>
      </c>
      <c r="F45" s="48">
        <f>IF(E43=E44,F43,IF(E45&gt;E34,0,F43+(F44-F43)/(E44-E43)*(E45-E43)))</f>
        <v>2</v>
      </c>
      <c r="G45" s="47">
        <f>C45</f>
        <v>278.71394911057934</v>
      </c>
      <c r="H45" s="49">
        <f>IF(G43=G44,H43,IF(G45&gt;G37,0,H43+(H44-H43)/(G44-G43)*(G45-G43)))</f>
        <v>2</v>
      </c>
      <c r="J45" s="50">
        <f>C45</f>
        <v>278.71394911057934</v>
      </c>
      <c r="K45" s="48">
        <f>IF(J43=J44,K43,IF(J45&gt;J38,0,K43+(K44-K43)/(J44-J43)*(J45-J43)))</f>
        <v>2</v>
      </c>
      <c r="L45" s="47">
        <f>C45</f>
        <v>278.71394911057934</v>
      </c>
      <c r="M45" s="48">
        <f>IF(L43=L44,M43,IF(L45&gt;L34,0,M43+(M44-M43)/(L44-L43)*(L45-L43)))</f>
        <v>2</v>
      </c>
      <c r="N45" s="47">
        <f>C45</f>
        <v>278.71394911057934</v>
      </c>
      <c r="O45" s="49">
        <f>IF(N43=N44,O43,IF(N45&gt;N36,0,O43+(O44-O43)/(N44-N43)*(N45-N43)))</f>
        <v>2</v>
      </c>
    </row>
    <row r="46" spans="1:15" ht="15" thickBot="1" x14ac:dyDescent="0.35">
      <c r="B46" s="2"/>
      <c r="C46" s="4"/>
      <c r="D46" s="4"/>
      <c r="E46" s="4"/>
      <c r="F46" s="4"/>
      <c r="G46" s="4"/>
      <c r="H46" s="4"/>
      <c r="J46" s="4"/>
      <c r="K46" s="4"/>
      <c r="L46" s="4"/>
      <c r="M46" s="4"/>
      <c r="N46" s="4"/>
      <c r="O46" s="4"/>
    </row>
    <row r="47" spans="1:15" x14ac:dyDescent="0.3">
      <c r="A47" s="219" t="s">
        <v>87</v>
      </c>
      <c r="B47" s="29" t="s">
        <v>82</v>
      </c>
      <c r="C47" s="30">
        <f>IF(C49&lt;C26,C26,MROUND(C49,50))</f>
        <v>600</v>
      </c>
      <c r="D47" s="31">
        <f>VLOOKUP(C$47,C26:D41,2,FALSE)</f>
        <v>2</v>
      </c>
      <c r="E47" s="30">
        <f>IF(E49&lt;E26,E26,MROUND(E49,50))</f>
        <v>600</v>
      </c>
      <c r="F47" s="31">
        <f>VLOOKUP(E$47,E26:F41,2,FALSE)</f>
        <v>1.9</v>
      </c>
      <c r="G47" s="30">
        <f>IF(G49&lt;G26,G26,MROUND(G49,50))</f>
        <v>600</v>
      </c>
      <c r="H47" s="32">
        <f>VLOOKUP(G$47,G26:H41,2,FALSE)</f>
        <v>1.98</v>
      </c>
      <c r="J47" s="34">
        <f>IF(J49&lt;J26,J26,MROUND(J49,50))</f>
        <v>600</v>
      </c>
      <c r="K47" s="31">
        <f>VLOOKUP(J$47,J26:K41,2,FALSE)</f>
        <v>2</v>
      </c>
      <c r="L47" s="30">
        <f>IF(L49&lt;L26,L26,MROUND(L49,50))</f>
        <v>600</v>
      </c>
      <c r="M47" s="31">
        <f>VLOOKUP(L$47,L26:M41,2,FALSE)</f>
        <v>2</v>
      </c>
      <c r="N47" s="30">
        <f>IF(N49&lt;N26,N26,MROUND(N49,50))</f>
        <v>600</v>
      </c>
      <c r="O47" s="32">
        <f>VLOOKUP(N$47,N26:O41,2,FALSE)</f>
        <v>2</v>
      </c>
    </row>
    <row r="48" spans="1:15" x14ac:dyDescent="0.3">
      <c r="A48" s="220"/>
      <c r="B48" s="28" t="s">
        <v>83</v>
      </c>
      <c r="C48" s="26">
        <f>IF(C49&gt;C47,C47+50,IF(C47-50&lt;C26,C26,C47-50))</f>
        <v>650</v>
      </c>
      <c r="D48" s="27">
        <f>VLOOKUP(C$48,C26:D41,2,FALSE)</f>
        <v>2</v>
      </c>
      <c r="E48" s="26">
        <f>IF(E49&gt;E47,E47+50,IF(E47-50&lt;E26,E26,E47-50))</f>
        <v>650</v>
      </c>
      <c r="F48" s="27">
        <f>VLOOKUP(E$48,E26:F41,2,FALSE)</f>
        <v>1.88</v>
      </c>
      <c r="G48" s="26">
        <f>IF(G49&gt;G47,G47+50,IF(G47-50&lt;G26,G26,G47-50))</f>
        <v>650</v>
      </c>
      <c r="H48" s="33">
        <f>VLOOKUP(G$48,G26:H41,2,FALSE)</f>
        <v>1.98</v>
      </c>
      <c r="J48" s="35">
        <f>IF(J49&gt;J47,J47+50,IF(J47-50&lt;J26,J26,J47-50))</f>
        <v>650</v>
      </c>
      <c r="K48" s="27">
        <f>VLOOKUP(J$48,J26:K41,2,FALSE)</f>
        <v>2</v>
      </c>
      <c r="L48" s="26">
        <f>IF(L49&gt;L47,L47+50,IF(L47-50&lt;L26,L26,L47-50))</f>
        <v>650</v>
      </c>
      <c r="M48" s="27">
        <f>VLOOKUP(L$48,L26:M41,2,FALSE)</f>
        <v>2</v>
      </c>
      <c r="N48" s="26">
        <f>IF(N49&gt;N47,N47+50,IF(N47-50&lt;N26,N26,N47-50))</f>
        <v>650</v>
      </c>
      <c r="O48" s="33">
        <f>VLOOKUP(N$48,N26:O41,2,FALSE)</f>
        <v>2</v>
      </c>
    </row>
    <row r="49" spans="1:15" ht="15" thickBot="1" x14ac:dyDescent="0.35">
      <c r="A49" s="221"/>
      <c r="B49" s="36" t="s">
        <v>84</v>
      </c>
      <c r="C49" s="37">
        <f>ABS($B$62)</f>
        <v>603.71394911057928</v>
      </c>
      <c r="D49" s="38">
        <f>IF(C47=C48,D47,IF(C49&gt;C38,0,D47+(D48-D47)/(C48-C47)*(C49-C47)))</f>
        <v>2</v>
      </c>
      <c r="E49" s="37">
        <f>ABS($B$62)</f>
        <v>603.71394911057928</v>
      </c>
      <c r="F49" s="38">
        <f>IF(E47=E48,F47,IF(E49&gt;E34,0,F47+(F48-F47)/(E48-E47)*(E49-E47)))</f>
        <v>1.8985144203557682</v>
      </c>
      <c r="G49" s="37">
        <f>ABS($B$62)</f>
        <v>603.71394911057928</v>
      </c>
      <c r="H49" s="39">
        <f>IF(G47=G48,H47,IF(G49&gt;G37,0,H47+(H48-H47)/(G48-G47)*(G49-G47)))</f>
        <v>1.98</v>
      </c>
      <c r="J49" s="40">
        <f>ABS($B$62)</f>
        <v>603.71394911057928</v>
      </c>
      <c r="K49" s="38">
        <f>IF(J47=J48,K47,IF(J49&gt;J38,0,K47+(K48-K47)/(J48-J47)*(J49-J47)))</f>
        <v>2</v>
      </c>
      <c r="L49" s="37">
        <f>ABS($B$62)</f>
        <v>603.71394911057928</v>
      </c>
      <c r="M49" s="38">
        <f>IF(L47=L48,M47,IF(L49&gt;L34,0,M47+(M48-M47)/(L48-L47)*(L49-L47)))</f>
        <v>2</v>
      </c>
      <c r="N49" s="37">
        <f>ABS($B$62)</f>
        <v>603.71394911057928</v>
      </c>
      <c r="O49" s="39">
        <f>IF(N47=N48,O47,IF(N49&gt;N36,0,O47+(O48-O47)/(N48-N47)*(N49-N47)))</f>
        <v>2</v>
      </c>
    </row>
    <row r="50" spans="1:15" ht="15" thickBot="1" x14ac:dyDescent="0.35">
      <c r="B50" s="2"/>
      <c r="C50" s="4"/>
      <c r="D50" s="4"/>
      <c r="E50" s="4"/>
      <c r="F50" s="4"/>
      <c r="G50" s="4"/>
      <c r="H50" s="4"/>
      <c r="J50" s="4"/>
      <c r="K50" s="4"/>
      <c r="L50" s="4"/>
      <c r="M50" s="4"/>
      <c r="N50" s="4"/>
      <c r="O50" s="4"/>
    </row>
    <row r="51" spans="1:15" x14ac:dyDescent="0.3">
      <c r="A51" s="222" t="s">
        <v>66</v>
      </c>
      <c r="B51" s="29" t="s">
        <v>82</v>
      </c>
      <c r="C51" s="30">
        <f>IF(C53&lt;C26,C26,MROUND(C53,50))</f>
        <v>950</v>
      </c>
      <c r="D51" s="31">
        <f>VLOOKUP(C$51,C26:D41,2,FALSE)</f>
        <v>1.72</v>
      </c>
      <c r="E51" s="30">
        <f>IF(E53&lt;E26,E26,MROUND(E53,50))</f>
        <v>950</v>
      </c>
      <c r="F51" s="31">
        <f>VLOOKUP(E$51,E26:F41,2,FALSE)</f>
        <v>0</v>
      </c>
      <c r="G51" s="30">
        <f>IF(G53&lt;G26,G26,MROUND(G53,50))</f>
        <v>950</v>
      </c>
      <c r="H51" s="32">
        <f>VLOOKUP(G$51,G26:H41,2,FALSE)</f>
        <v>1.51</v>
      </c>
      <c r="J51" s="34">
        <f>IF(J53&lt;J26,J26,MROUND(J53,50))</f>
        <v>950</v>
      </c>
      <c r="K51" s="31">
        <f>VLOOKUP(J$51,J26:K41,2,FALSE)</f>
        <v>1.78</v>
      </c>
      <c r="L51" s="30">
        <f>IF(L53&lt;L26,L26,MROUND(L53,50))</f>
        <v>950</v>
      </c>
      <c r="M51" s="31">
        <f>VLOOKUP(L$51,L26:M41,2,FALSE)</f>
        <v>0</v>
      </c>
      <c r="N51" s="30">
        <f>IF(N53&lt;N26,N26,MROUND(N53,50))</f>
        <v>950</v>
      </c>
      <c r="O51" s="32">
        <f>VLOOKUP(N$51,N26:O41,2,FALSE)</f>
        <v>1.55</v>
      </c>
    </row>
    <row r="52" spans="1:15" x14ac:dyDescent="0.3">
      <c r="A52" s="223"/>
      <c r="B52" s="28" t="s">
        <v>83</v>
      </c>
      <c r="C52" s="26">
        <f>IF(C53&gt;C51,C51+50,IF(C51-50&lt;C26,C26,C51-50))</f>
        <v>1000</v>
      </c>
      <c r="D52" s="27">
        <f>VLOOKUP(C$52,C26:D41,2,FALSE)</f>
        <v>1.62</v>
      </c>
      <c r="E52" s="26">
        <f>IF(E53&gt;E51,E51+50,IF(E51-50&lt;E26,E26,E51-50))</f>
        <v>1000</v>
      </c>
      <c r="F52" s="27">
        <f>VLOOKUP(E$52,E26:F41,2,FALSE)</f>
        <v>0</v>
      </c>
      <c r="G52" s="26">
        <f>IF(G53&gt;G51,G51+50,IF(G51-50&lt;G26,G26,G51-50))</f>
        <v>1000</v>
      </c>
      <c r="H52" s="33">
        <f>VLOOKUP(G$52,G26:H41,2,FALSE)</f>
        <v>1.41</v>
      </c>
      <c r="J52" s="35">
        <f>IF(J53&gt;J51,J51+50,IF(J51-50&lt;J26,J26,J51-50))</f>
        <v>1000</v>
      </c>
      <c r="K52" s="27">
        <f>VLOOKUP(J$52,J26:K41,2,FALSE)</f>
        <v>1.69</v>
      </c>
      <c r="L52" s="26">
        <f>IF(L53&gt;L51,L51+50,IF(L51-50&lt;L26,L26,L51-50))</f>
        <v>1000</v>
      </c>
      <c r="M52" s="27">
        <f>VLOOKUP(L$52,L26:M41,2,FALSE)</f>
        <v>0</v>
      </c>
      <c r="N52" s="26">
        <f>IF(N53&gt;N51,N51+50,IF(N51-50&lt;N26,N26,N51-50))</f>
        <v>1000</v>
      </c>
      <c r="O52" s="33">
        <f>VLOOKUP(N$52,N26:O41,2,FALSE)</f>
        <v>1.43</v>
      </c>
    </row>
    <row r="53" spans="1:15" ht="15" thickBot="1" x14ac:dyDescent="0.35">
      <c r="A53" s="224"/>
      <c r="B53" s="41" t="s">
        <v>84</v>
      </c>
      <c r="C53" s="42">
        <f>ABS($B$63)</f>
        <v>953.71394911057928</v>
      </c>
      <c r="D53" s="43">
        <f>IF(C51=C52,D51,IF(C53&gt;C38,0,D51+(D52-D51)/(C52-C51)*(C53-C51)))</f>
        <v>1.7125721017788413</v>
      </c>
      <c r="E53" s="42">
        <f>ABS($B$63)</f>
        <v>953.71394911057928</v>
      </c>
      <c r="F53" s="43">
        <f>IF(E51=E52,F51,IF(E53&gt;E34,0,F51+(F52-F51)/(E52-E51)*(E53-E51)))</f>
        <v>0</v>
      </c>
      <c r="G53" s="42">
        <f>ABS($B$63)</f>
        <v>953.71394911057928</v>
      </c>
      <c r="H53" s="44">
        <f>IF(G51=G52,H51,IF(G53&gt;G37,0,H51+(H52-H51)/(G52-G51)*(G53-G51)))</f>
        <v>1.5025721017788414</v>
      </c>
      <c r="J53" s="45">
        <f>ABS($B$63)</f>
        <v>953.71394911057928</v>
      </c>
      <c r="K53" s="43">
        <f>IF(J51=J52,K51,IF(J53&gt;J38,0,K51+(K52-K51)/(J52-J51)*(J53-J51)))</f>
        <v>1.7733148916009573</v>
      </c>
      <c r="L53" s="42">
        <f>ABS($B$63)</f>
        <v>953.71394911057928</v>
      </c>
      <c r="M53" s="43">
        <f>IF(L51=L52,M51,IF(L53&gt;L34,0,M51+(M52-M51)/(L52-L51)*(L53-L51)))</f>
        <v>0</v>
      </c>
      <c r="N53" s="42">
        <f>ABS($B$63)</f>
        <v>953.71394911057928</v>
      </c>
      <c r="O53" s="44">
        <f>IF(N51=N52,O51,IF(N53&gt;N36,0,O51+(O52-O51)/(N52-N51)*(N53-N51)))</f>
        <v>1.5410865221346097</v>
      </c>
    </row>
    <row r="57" spans="1:15" x14ac:dyDescent="0.3">
      <c r="A57" t="s">
        <v>77</v>
      </c>
      <c r="B57" t="str">
        <f>Données!D25</f>
        <v>4 appuis</v>
      </c>
    </row>
    <row r="58" spans="1:15" x14ac:dyDescent="0.3">
      <c r="A58" t="s">
        <v>4</v>
      </c>
      <c r="B58">
        <f>Données!D24</f>
        <v>1.5</v>
      </c>
      <c r="C58" t="s">
        <v>32</v>
      </c>
      <c r="D58" s="4" t="s">
        <v>88</v>
      </c>
      <c r="E58" s="4" t="s">
        <v>85</v>
      </c>
      <c r="F58" s="4" t="s">
        <v>89</v>
      </c>
      <c r="G58" s="4" t="s">
        <v>85</v>
      </c>
    </row>
    <row r="59" spans="1:15" x14ac:dyDescent="0.3">
      <c r="A59" s="63" t="s">
        <v>78</v>
      </c>
      <c r="B59" s="63">
        <f>Neige!H17</f>
        <v>528.97835858172834</v>
      </c>
      <c r="D59" s="64">
        <f>IF(B57=C2,D23,IF(B57=E2,F23,H23))</f>
        <v>1.9310216414182717</v>
      </c>
      <c r="E59" s="65">
        <f>IF(D59&gt;=B58,1,0)</f>
        <v>1</v>
      </c>
      <c r="F59" s="64">
        <f>IF(B57=J2,K23,IF(B57=L2,M23,O23))</f>
        <v>2</v>
      </c>
      <c r="G59" s="65">
        <f>IF(F59&gt;=B58,1,0)</f>
        <v>1</v>
      </c>
    </row>
    <row r="60" spans="1:15" x14ac:dyDescent="0.3">
      <c r="D60" s="24"/>
      <c r="E60" s="4"/>
      <c r="F60" s="24"/>
      <c r="G60" s="4"/>
    </row>
    <row r="61" spans="1:15" x14ac:dyDescent="0.3">
      <c r="A61" s="51" t="s">
        <v>79</v>
      </c>
      <c r="B61" s="52">
        <f>Vent!H18</f>
        <v>-278.71394911057934</v>
      </c>
      <c r="D61" s="53">
        <f>IF(B57=C2,D45,IF(B57=E2,F45,H45))</f>
        <v>2</v>
      </c>
      <c r="E61" s="54">
        <f>IF(D61&gt;=B58,1,0)</f>
        <v>1</v>
      </c>
      <c r="F61" s="53">
        <f>IF(B57=J2,K45,IF(B57=L2,M45,O45))</f>
        <v>2</v>
      </c>
      <c r="G61" s="54">
        <f>IF(F61&gt;=B58,1,0)</f>
        <v>1</v>
      </c>
      <c r="I61" s="204" t="str">
        <f>IF($E$59*E61=1,"Possible avec 2 short rails",IF($G$59*G61=1,"Possible uniquement avec 3 short rails","Impossible d'installer PRIMA"))</f>
        <v>Possible avec 2 short rails</v>
      </c>
      <c r="J61" s="204"/>
      <c r="K61" s="204"/>
      <c r="L61" s="3">
        <f>MIN($D$59,D61)</f>
        <v>1.9310216414182717</v>
      </c>
      <c r="M61" s="3">
        <f>MIN($F$59,F61)</f>
        <v>2</v>
      </c>
      <c r="N61" s="3"/>
    </row>
    <row r="62" spans="1:15" x14ac:dyDescent="0.3">
      <c r="A62" s="55" t="s">
        <v>80</v>
      </c>
      <c r="B62" s="56">
        <f>Vent!H19</f>
        <v>-603.71394911057928</v>
      </c>
      <c r="D62" s="57">
        <f>IF(B57=C2,D49,IF(B57=E2,F49,H49))</f>
        <v>1.98</v>
      </c>
      <c r="E62" s="58">
        <f>IF(D62&gt;=B58,1,0)</f>
        <v>1</v>
      </c>
      <c r="F62" s="57">
        <f>IF(B57=J2,K49,IF(B57=L2,M49,O49))</f>
        <v>2</v>
      </c>
      <c r="G62" s="58">
        <f>IF(F62&gt;=B58,1,0)</f>
        <v>1</v>
      </c>
      <c r="I62" s="205" t="str">
        <f t="shared" ref="I62" si="10">IF($E$59*E62=1,"Possible avec 2 short rails",IF($G$59*G62=1,"Possible uniquement avec 3 short rails","Impossible d'installer PRIMA"))</f>
        <v>Possible avec 2 short rails</v>
      </c>
      <c r="J62" s="205"/>
      <c r="K62" s="205"/>
      <c r="L62" s="3">
        <f t="shared" ref="L62:L63" si="11">MIN($D$59,D62)</f>
        <v>1.9310216414182717</v>
      </c>
      <c r="M62" s="3">
        <f>MIN($F$59,F62)</f>
        <v>2</v>
      </c>
      <c r="N62" s="3"/>
    </row>
    <row r="63" spans="1:15" x14ac:dyDescent="0.3">
      <c r="A63" s="59" t="s">
        <v>81</v>
      </c>
      <c r="B63" s="60">
        <f>Vent!H20</f>
        <v>-953.71394911057928</v>
      </c>
      <c r="D63" s="61">
        <f>IF(B57=C2,D53,IF(B57=E2,F53,H53))</f>
        <v>1.5025721017788414</v>
      </c>
      <c r="E63" s="62">
        <f>IF(D63&gt;=B58,1,0)</f>
        <v>1</v>
      </c>
      <c r="F63" s="61">
        <f>IF(B57=J2,K53,IF(B57=L2,M53,O53))</f>
        <v>1.5410865221346097</v>
      </c>
      <c r="G63" s="62">
        <f>IF(F63&gt;=B58,1,0)</f>
        <v>1</v>
      </c>
      <c r="I63" s="206" t="str">
        <f>IF($E$59*E63=1,"Possible avec 2 short rails",IF($G$59*G63=1,"Possible uniquement avec 3 short rails","Impossible d'installer PRIMA"))</f>
        <v>Possible avec 2 short rails</v>
      </c>
      <c r="J63" s="206"/>
      <c r="K63" s="206"/>
      <c r="L63" s="3">
        <f t="shared" si="11"/>
        <v>1.5025721017788414</v>
      </c>
      <c r="M63" s="3">
        <f>MIN($F$59,F63)</f>
        <v>1.5410865221346097</v>
      </c>
      <c r="N63" s="3"/>
    </row>
    <row r="65" spans="1:3" x14ac:dyDescent="0.3">
      <c r="A65" t="s">
        <v>95</v>
      </c>
      <c r="B65" s="3">
        <f>Neige!B20</f>
        <v>0</v>
      </c>
      <c r="C65" t="s">
        <v>32</v>
      </c>
    </row>
    <row r="66" spans="1:3" x14ac:dyDescent="0.3">
      <c r="A66" t="s">
        <v>96</v>
      </c>
      <c r="B66" s="3">
        <f>Vent!J18</f>
        <v>2</v>
      </c>
      <c r="C66" t="s">
        <v>32</v>
      </c>
    </row>
    <row r="67" spans="1:3" x14ac:dyDescent="0.3">
      <c r="A67" t="s">
        <v>90</v>
      </c>
      <c r="B67">
        <f>Vent!J18</f>
        <v>2</v>
      </c>
      <c r="C67" t="s">
        <v>32</v>
      </c>
    </row>
    <row r="68" spans="1:3" x14ac:dyDescent="0.3">
      <c r="A68" t="s">
        <v>91</v>
      </c>
    </row>
  </sheetData>
  <sheetProtection algorithmName="SHA-512" hashValue="I28erCiv4+/S5hYOFXqArn4qIFj/hdxjB/cSmUaEi3mlnFLveTshaUMMgDsRffjFeei8RC8cvcbD72wAZG38zw==" saltValue="JHHeuGZH7wL+kiCU/FJl+g==" spinCount="100000" sheet="1" selectLockedCells="1" selectUnlockedCells="1"/>
  <mergeCells count="16">
    <mergeCell ref="C1:H1"/>
    <mergeCell ref="J1:O1"/>
    <mergeCell ref="C2:D2"/>
    <mergeCell ref="E2:F2"/>
    <mergeCell ref="G2:H2"/>
    <mergeCell ref="J2:K2"/>
    <mergeCell ref="L2:M2"/>
    <mergeCell ref="N2:O2"/>
    <mergeCell ref="I62:K62"/>
    <mergeCell ref="I63:K63"/>
    <mergeCell ref="B3:B19"/>
    <mergeCell ref="B26:B41"/>
    <mergeCell ref="A43:A45"/>
    <mergeCell ref="A47:A49"/>
    <mergeCell ref="A51:A53"/>
    <mergeCell ref="I61:K6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94B28-6986-4765-B989-0CA6FFAEC9B6}">
  <sheetPr codeName="Feuil6"/>
  <dimension ref="A1:O68"/>
  <sheetViews>
    <sheetView workbookViewId="0">
      <pane ySplit="2" topLeftCell="A35" activePane="bottomLeft" state="frozen"/>
      <selection activeCell="E36" sqref="E36"/>
      <selection pane="bottomLeft" activeCell="E36" sqref="E36"/>
    </sheetView>
  </sheetViews>
  <sheetFormatPr baseColWidth="10" defaultRowHeight="14.4" x14ac:dyDescent="0.3"/>
  <sheetData>
    <row r="1" spans="2:15" ht="15" thickBot="1" x14ac:dyDescent="0.35">
      <c r="C1" s="225" t="s">
        <v>74</v>
      </c>
      <c r="D1" s="226"/>
      <c r="E1" s="226"/>
      <c r="F1" s="226"/>
      <c r="G1" s="226"/>
      <c r="H1" s="227"/>
      <c r="J1" s="225" t="s">
        <v>115</v>
      </c>
      <c r="K1" s="226"/>
      <c r="L1" s="226"/>
      <c r="M1" s="226"/>
      <c r="N1" s="226"/>
      <c r="O1" s="227"/>
    </row>
    <row r="2" spans="2:15" ht="15" thickBot="1" x14ac:dyDescent="0.35">
      <c r="C2" s="228" t="s">
        <v>71</v>
      </c>
      <c r="D2" s="229"/>
      <c r="E2" s="228" t="s">
        <v>72</v>
      </c>
      <c r="F2" s="230"/>
      <c r="G2" s="231" t="s">
        <v>73</v>
      </c>
      <c r="H2" s="230"/>
      <c r="J2" s="228" t="str">
        <f>C2</f>
        <v>2 appuis</v>
      </c>
      <c r="K2" s="229"/>
      <c r="L2" s="228" t="str">
        <f>E2</f>
        <v>3 appuis</v>
      </c>
      <c r="M2" s="230"/>
      <c r="N2" s="231" t="str">
        <f>G2</f>
        <v>4 appuis</v>
      </c>
      <c r="O2" s="230"/>
    </row>
    <row r="3" spans="2:15" x14ac:dyDescent="0.3">
      <c r="B3" s="209" t="s">
        <v>70</v>
      </c>
      <c r="C3" s="17">
        <v>450</v>
      </c>
      <c r="D3" s="6">
        <v>1.68</v>
      </c>
      <c r="E3" s="5">
        <f>C3</f>
        <v>450</v>
      </c>
      <c r="F3" s="7">
        <v>2</v>
      </c>
      <c r="G3" s="8">
        <f>C3</f>
        <v>450</v>
      </c>
      <c r="H3" s="7">
        <v>2</v>
      </c>
      <c r="J3" s="17">
        <v>450</v>
      </c>
      <c r="K3" s="6">
        <v>0</v>
      </c>
      <c r="L3" s="5">
        <f t="shared" ref="L3:N19" si="0">E3</f>
        <v>450</v>
      </c>
      <c r="M3" s="7">
        <v>0</v>
      </c>
      <c r="N3" s="8">
        <f t="shared" si="0"/>
        <v>450</v>
      </c>
      <c r="O3" s="7">
        <v>0</v>
      </c>
    </row>
    <row r="4" spans="2:15" x14ac:dyDescent="0.3">
      <c r="B4" s="210"/>
      <c r="C4" s="9">
        <v>500</v>
      </c>
      <c r="D4" s="10">
        <v>1.64</v>
      </c>
      <c r="E4" s="9">
        <f t="shared" ref="E4:E19" si="1">C4</f>
        <v>500</v>
      </c>
      <c r="F4" s="11">
        <v>2</v>
      </c>
      <c r="G4" s="12">
        <f t="shared" ref="G4:G19" si="2">C4</f>
        <v>500</v>
      </c>
      <c r="H4" s="11">
        <v>1.99</v>
      </c>
      <c r="J4" s="9">
        <v>500</v>
      </c>
      <c r="K4" s="10">
        <v>0</v>
      </c>
      <c r="L4" s="9">
        <f t="shared" si="0"/>
        <v>500</v>
      </c>
      <c r="M4" s="11">
        <v>0</v>
      </c>
      <c r="N4" s="12">
        <f t="shared" si="0"/>
        <v>500</v>
      </c>
      <c r="O4" s="11">
        <v>0</v>
      </c>
    </row>
    <row r="5" spans="2:15" x14ac:dyDescent="0.3">
      <c r="B5" s="210"/>
      <c r="C5" s="9">
        <v>550</v>
      </c>
      <c r="D5" s="11">
        <v>1.57</v>
      </c>
      <c r="E5" s="9">
        <f>C5</f>
        <v>550</v>
      </c>
      <c r="F5" s="11">
        <v>2</v>
      </c>
      <c r="G5" s="12">
        <f>C5</f>
        <v>550</v>
      </c>
      <c r="H5" s="11">
        <v>1.95</v>
      </c>
      <c r="J5" s="9">
        <v>550</v>
      </c>
      <c r="K5" s="11">
        <f>AVERAGE(K4,K6)</f>
        <v>0</v>
      </c>
      <c r="L5" s="9">
        <f>J5</f>
        <v>550</v>
      </c>
      <c r="M5" s="11">
        <f>AVERAGE(M4,M6)</f>
        <v>0</v>
      </c>
      <c r="N5" s="12">
        <f>J5</f>
        <v>550</v>
      </c>
      <c r="O5" s="11">
        <f>AVERAGE(O4,O6)</f>
        <v>0</v>
      </c>
    </row>
    <row r="6" spans="2:15" x14ac:dyDescent="0.3">
      <c r="B6" s="210"/>
      <c r="C6" s="9">
        <v>600</v>
      </c>
      <c r="D6" s="10">
        <v>1.49</v>
      </c>
      <c r="E6" s="9">
        <f t="shared" si="1"/>
        <v>600</v>
      </c>
      <c r="F6" s="11">
        <v>2</v>
      </c>
      <c r="G6" s="12">
        <f t="shared" si="2"/>
        <v>600</v>
      </c>
      <c r="H6" s="11">
        <v>1.9</v>
      </c>
      <c r="J6" s="9">
        <v>600</v>
      </c>
      <c r="K6" s="10">
        <v>0</v>
      </c>
      <c r="L6" s="9">
        <f t="shared" si="0"/>
        <v>600</v>
      </c>
      <c r="M6" s="11">
        <v>0</v>
      </c>
      <c r="N6" s="12">
        <f t="shared" si="0"/>
        <v>600</v>
      </c>
      <c r="O6" s="11">
        <v>0</v>
      </c>
    </row>
    <row r="7" spans="2:15" x14ac:dyDescent="0.3">
      <c r="B7" s="210"/>
      <c r="C7" s="9">
        <v>650</v>
      </c>
      <c r="D7" s="10">
        <v>1.42</v>
      </c>
      <c r="E7" s="9">
        <f t="shared" si="1"/>
        <v>650</v>
      </c>
      <c r="F7" s="11">
        <v>1.98</v>
      </c>
      <c r="G7" s="12">
        <f t="shared" si="2"/>
        <v>650</v>
      </c>
      <c r="H7" s="11">
        <v>1.86</v>
      </c>
      <c r="J7" s="9">
        <v>650</v>
      </c>
      <c r="K7" s="10">
        <v>0</v>
      </c>
      <c r="L7" s="9">
        <f t="shared" si="0"/>
        <v>650</v>
      </c>
      <c r="M7" s="11">
        <v>0</v>
      </c>
      <c r="N7" s="12">
        <f t="shared" si="0"/>
        <v>650</v>
      </c>
      <c r="O7" s="11">
        <v>0</v>
      </c>
    </row>
    <row r="8" spans="2:15" x14ac:dyDescent="0.3">
      <c r="B8" s="210"/>
      <c r="C8" s="9">
        <v>700</v>
      </c>
      <c r="D8" s="10">
        <v>1.34</v>
      </c>
      <c r="E8" s="9">
        <f t="shared" si="1"/>
        <v>700</v>
      </c>
      <c r="F8" s="11">
        <v>1.94</v>
      </c>
      <c r="G8" s="12">
        <f t="shared" si="2"/>
        <v>700</v>
      </c>
      <c r="H8" s="11">
        <v>1.82</v>
      </c>
      <c r="J8" s="9">
        <v>700</v>
      </c>
      <c r="K8" s="10">
        <v>0</v>
      </c>
      <c r="L8" s="9">
        <f t="shared" si="0"/>
        <v>700</v>
      </c>
      <c r="M8" s="11">
        <v>0</v>
      </c>
      <c r="N8" s="12">
        <f t="shared" si="0"/>
        <v>700</v>
      </c>
      <c r="O8" s="11">
        <v>0</v>
      </c>
    </row>
    <row r="9" spans="2:15" x14ac:dyDescent="0.3">
      <c r="B9" s="210"/>
      <c r="C9" s="9">
        <v>750</v>
      </c>
      <c r="D9" s="10">
        <v>0</v>
      </c>
      <c r="E9" s="9">
        <f t="shared" si="1"/>
        <v>750</v>
      </c>
      <c r="F9" s="11">
        <f>ROUND(AVERAGE(F8,F10),2)</f>
        <v>1.87</v>
      </c>
      <c r="G9" s="12">
        <f>C9</f>
        <v>750</v>
      </c>
      <c r="H9" s="11">
        <f>ROUND(AVERAGE(H8,H10),2)</f>
        <v>1.79</v>
      </c>
      <c r="J9" s="9">
        <v>750</v>
      </c>
      <c r="K9" s="11">
        <f>AVERAGE(K8,K10)</f>
        <v>0</v>
      </c>
      <c r="L9" s="9">
        <f t="shared" si="0"/>
        <v>750</v>
      </c>
      <c r="M9" s="11">
        <f>AVERAGE(M8,M10)</f>
        <v>0</v>
      </c>
      <c r="N9" s="12">
        <f t="shared" si="0"/>
        <v>750</v>
      </c>
      <c r="O9" s="11">
        <f>AVERAGE(O8,O10)</f>
        <v>0</v>
      </c>
    </row>
    <row r="10" spans="2:15" x14ac:dyDescent="0.3">
      <c r="B10" s="210"/>
      <c r="C10" s="9">
        <v>800</v>
      </c>
      <c r="D10" s="10">
        <v>0</v>
      </c>
      <c r="E10" s="9">
        <f t="shared" si="1"/>
        <v>800</v>
      </c>
      <c r="F10" s="11">
        <v>1.8</v>
      </c>
      <c r="G10" s="12">
        <f t="shared" si="2"/>
        <v>800</v>
      </c>
      <c r="H10" s="11">
        <v>1.75</v>
      </c>
      <c r="J10" s="9">
        <v>800</v>
      </c>
      <c r="K10" s="10">
        <v>0</v>
      </c>
      <c r="L10" s="9">
        <f t="shared" si="0"/>
        <v>800</v>
      </c>
      <c r="M10" s="11">
        <v>0</v>
      </c>
      <c r="N10" s="12">
        <f t="shared" si="0"/>
        <v>800</v>
      </c>
      <c r="O10" s="11">
        <v>0</v>
      </c>
    </row>
    <row r="11" spans="2:15" x14ac:dyDescent="0.3">
      <c r="B11" s="210"/>
      <c r="C11" s="9">
        <v>850</v>
      </c>
      <c r="D11" s="10">
        <v>0</v>
      </c>
      <c r="E11" s="9">
        <f t="shared" si="1"/>
        <v>850</v>
      </c>
      <c r="F11" s="11">
        <f>ROUND(AVERAGE(F10,F12),2)</f>
        <v>1.73</v>
      </c>
      <c r="G11" s="12">
        <f t="shared" si="2"/>
        <v>850</v>
      </c>
      <c r="H11" s="11">
        <f>ROUND(AVERAGE(H10,H12),2)</f>
        <v>1.72</v>
      </c>
      <c r="J11" s="9">
        <v>850</v>
      </c>
      <c r="K11" s="10">
        <v>0</v>
      </c>
      <c r="L11" s="9">
        <f t="shared" si="0"/>
        <v>850</v>
      </c>
      <c r="M11" s="11">
        <v>0</v>
      </c>
      <c r="N11" s="12">
        <f t="shared" si="0"/>
        <v>850</v>
      </c>
      <c r="O11" s="11">
        <v>0</v>
      </c>
    </row>
    <row r="12" spans="2:15" x14ac:dyDescent="0.3">
      <c r="B12" s="210"/>
      <c r="C12" s="9">
        <v>900</v>
      </c>
      <c r="D12" s="10">
        <v>0</v>
      </c>
      <c r="E12" s="9">
        <f t="shared" si="1"/>
        <v>900</v>
      </c>
      <c r="F12" s="11">
        <v>1.66</v>
      </c>
      <c r="G12" s="12">
        <f t="shared" si="2"/>
        <v>900</v>
      </c>
      <c r="H12" s="11">
        <v>1.68</v>
      </c>
      <c r="J12" s="9">
        <v>900</v>
      </c>
      <c r="K12" s="10">
        <v>0</v>
      </c>
      <c r="L12" s="9">
        <f t="shared" si="0"/>
        <v>900</v>
      </c>
      <c r="M12" s="11">
        <v>0</v>
      </c>
      <c r="N12" s="12">
        <f t="shared" si="0"/>
        <v>900</v>
      </c>
      <c r="O12" s="11">
        <v>0</v>
      </c>
    </row>
    <row r="13" spans="2:15" x14ac:dyDescent="0.3">
      <c r="B13" s="210"/>
      <c r="C13" s="9">
        <v>950</v>
      </c>
      <c r="D13" s="10">
        <v>0</v>
      </c>
      <c r="E13" s="9">
        <f t="shared" si="1"/>
        <v>950</v>
      </c>
      <c r="F13" s="11">
        <f>ROUND(AVERAGE(F12,F14),2)</f>
        <v>1.6</v>
      </c>
      <c r="G13" s="12">
        <f t="shared" si="2"/>
        <v>950</v>
      </c>
      <c r="H13" s="11">
        <f>ROUND(AVERAGE(H12,H14),2)</f>
        <v>1.65</v>
      </c>
      <c r="J13" s="9">
        <v>950</v>
      </c>
      <c r="K13" s="11">
        <f>AVERAGE(K12,K14)</f>
        <v>0</v>
      </c>
      <c r="L13" s="9">
        <f t="shared" si="0"/>
        <v>950</v>
      </c>
      <c r="M13" s="11">
        <f>AVERAGE(M12,M14)</f>
        <v>0</v>
      </c>
      <c r="N13" s="12">
        <f t="shared" si="0"/>
        <v>950</v>
      </c>
      <c r="O13" s="11">
        <f>AVERAGE(O12,O14)</f>
        <v>0</v>
      </c>
    </row>
    <row r="14" spans="2:15" x14ac:dyDescent="0.3">
      <c r="B14" s="210"/>
      <c r="C14" s="9">
        <v>1000</v>
      </c>
      <c r="D14" s="10">
        <v>0</v>
      </c>
      <c r="E14" s="9">
        <f t="shared" si="1"/>
        <v>1000</v>
      </c>
      <c r="F14" s="11">
        <v>1.53</v>
      </c>
      <c r="G14" s="12">
        <f t="shared" si="2"/>
        <v>1000</v>
      </c>
      <c r="H14" s="11">
        <v>1.62</v>
      </c>
      <c r="J14" s="9">
        <v>1000</v>
      </c>
      <c r="K14" s="10">
        <v>0</v>
      </c>
      <c r="L14" s="9">
        <f t="shared" si="0"/>
        <v>1000</v>
      </c>
      <c r="M14" s="11">
        <v>0</v>
      </c>
      <c r="N14" s="12">
        <f t="shared" si="0"/>
        <v>1000</v>
      </c>
      <c r="O14" s="11">
        <v>0</v>
      </c>
    </row>
    <row r="15" spans="2:15" x14ac:dyDescent="0.3">
      <c r="B15" s="211"/>
      <c r="C15" s="21">
        <v>1050</v>
      </c>
      <c r="D15" s="22">
        <v>0</v>
      </c>
      <c r="E15" s="21">
        <f t="shared" si="1"/>
        <v>1050</v>
      </c>
      <c r="F15" s="11">
        <f>ROUND(AVERAGE(F14,F16),2)</f>
        <v>1.48</v>
      </c>
      <c r="G15" s="23">
        <f t="shared" si="2"/>
        <v>1050</v>
      </c>
      <c r="H15" s="11">
        <f>ROUND(AVERAGE(H14,H16),2)</f>
        <v>1.59</v>
      </c>
      <c r="J15" s="21">
        <v>1050</v>
      </c>
      <c r="K15" s="11">
        <f>AVERAGE(K14,K19)</f>
        <v>0</v>
      </c>
      <c r="L15" s="21">
        <f t="shared" si="0"/>
        <v>1050</v>
      </c>
      <c r="M15" s="11">
        <f>AVERAGE(M14,M19)</f>
        <v>0</v>
      </c>
      <c r="N15" s="23">
        <f t="shared" si="0"/>
        <v>1050</v>
      </c>
      <c r="O15" s="11">
        <f>AVERAGE(O14,O19)</f>
        <v>0</v>
      </c>
    </row>
    <row r="16" spans="2:15" x14ac:dyDescent="0.3">
      <c r="B16" s="211"/>
      <c r="C16" s="9">
        <v>1100</v>
      </c>
      <c r="D16" s="22">
        <v>0</v>
      </c>
      <c r="E16" s="9">
        <f t="shared" si="1"/>
        <v>1100</v>
      </c>
      <c r="F16" s="138">
        <v>1.42</v>
      </c>
      <c r="G16" s="12">
        <f t="shared" si="2"/>
        <v>1100</v>
      </c>
      <c r="H16" s="138">
        <v>1.56</v>
      </c>
      <c r="J16" s="9">
        <v>1100</v>
      </c>
      <c r="K16" s="22">
        <v>0</v>
      </c>
      <c r="L16" s="9">
        <f t="shared" si="0"/>
        <v>1100</v>
      </c>
      <c r="M16" s="138">
        <v>0</v>
      </c>
      <c r="N16" s="12">
        <f t="shared" si="0"/>
        <v>1100</v>
      </c>
      <c r="O16" s="138">
        <v>0</v>
      </c>
    </row>
    <row r="17" spans="2:15" x14ac:dyDescent="0.3">
      <c r="B17" s="211"/>
      <c r="C17" s="21">
        <v>1150</v>
      </c>
      <c r="D17" s="22">
        <v>0</v>
      </c>
      <c r="E17" s="21">
        <f t="shared" si="1"/>
        <v>1150</v>
      </c>
      <c r="F17" s="138">
        <v>0</v>
      </c>
      <c r="G17" s="23">
        <f t="shared" si="2"/>
        <v>1150</v>
      </c>
      <c r="H17" s="138">
        <f>ROUND(H16+(H19-H16)/3,2)</f>
        <v>1.52</v>
      </c>
      <c r="J17" s="21">
        <v>1150</v>
      </c>
      <c r="K17" s="22">
        <v>0</v>
      </c>
      <c r="L17" s="21">
        <f t="shared" si="0"/>
        <v>1150</v>
      </c>
      <c r="M17" s="138">
        <v>0</v>
      </c>
      <c r="N17" s="23">
        <f t="shared" si="0"/>
        <v>1150</v>
      </c>
      <c r="O17" s="138">
        <v>0</v>
      </c>
    </row>
    <row r="18" spans="2:15" x14ac:dyDescent="0.3">
      <c r="B18" s="211"/>
      <c r="C18" s="9">
        <v>1200</v>
      </c>
      <c r="D18" s="22">
        <v>0</v>
      </c>
      <c r="E18" s="9">
        <f t="shared" si="1"/>
        <v>1200</v>
      </c>
      <c r="F18" s="138">
        <v>0</v>
      </c>
      <c r="G18" s="12">
        <f t="shared" si="2"/>
        <v>1200</v>
      </c>
      <c r="H18" s="138">
        <f>ROUND(H16+2*(H19-H16)/3,2)</f>
        <v>1.48</v>
      </c>
      <c r="J18" s="9">
        <v>1200</v>
      </c>
      <c r="K18" s="22">
        <v>0</v>
      </c>
      <c r="L18" s="9">
        <f t="shared" si="0"/>
        <v>1200</v>
      </c>
      <c r="M18" s="138">
        <v>0</v>
      </c>
      <c r="N18" s="12">
        <f t="shared" si="0"/>
        <v>1200</v>
      </c>
      <c r="O18" s="138">
        <v>0</v>
      </c>
    </row>
    <row r="19" spans="2:15" ht="15" thickBot="1" x14ac:dyDescent="0.35">
      <c r="B19" s="212"/>
      <c r="C19" s="13">
        <v>1250</v>
      </c>
      <c r="D19" s="14">
        <v>0</v>
      </c>
      <c r="E19" s="13">
        <f t="shared" si="1"/>
        <v>1250</v>
      </c>
      <c r="F19" s="15">
        <v>0</v>
      </c>
      <c r="G19" s="16">
        <f t="shared" si="2"/>
        <v>1250</v>
      </c>
      <c r="H19" s="15">
        <v>1.44</v>
      </c>
      <c r="J19" s="13">
        <v>1250</v>
      </c>
      <c r="K19" s="14">
        <v>0</v>
      </c>
      <c r="L19" s="13">
        <f t="shared" si="0"/>
        <v>1250</v>
      </c>
      <c r="M19" s="15">
        <v>0</v>
      </c>
      <c r="N19" s="16">
        <f t="shared" si="0"/>
        <v>1250</v>
      </c>
      <c r="O19" s="15">
        <v>0</v>
      </c>
    </row>
    <row r="20" spans="2:15" ht="15" thickBot="1" x14ac:dyDescent="0.35"/>
    <row r="21" spans="2:15" x14ac:dyDescent="0.3">
      <c r="B21" s="67" t="s">
        <v>82</v>
      </c>
      <c r="C21" s="30">
        <f>IF(C23&lt;C3,C3,MROUND(C23,50))</f>
        <v>550</v>
      </c>
      <c r="D21" s="31">
        <f>VLOOKUP(C$21,C3:D19,2,FALSE)</f>
        <v>1.57</v>
      </c>
      <c r="E21" s="30">
        <f>IF(E23&lt;E3,E3,MROUND(E23,50))</f>
        <v>550</v>
      </c>
      <c r="F21" s="31">
        <f>VLOOKUP(E$21,E3:F19,2,FALSE)</f>
        <v>2</v>
      </c>
      <c r="G21" s="30">
        <f>IF(G23&lt;G3,G3,MROUND(G23,50))</f>
        <v>550</v>
      </c>
      <c r="H21" s="32">
        <f>VLOOKUP(G$21,G3:H19,2,FALSE)</f>
        <v>1.95</v>
      </c>
      <c r="I21" s="4"/>
      <c r="J21" s="34">
        <f>IF(J23&lt;J3,J3,MROUND(J23,50))</f>
        <v>550</v>
      </c>
      <c r="K21" s="73">
        <f>VLOOKUP(J$21,J3:K19,2,FALSE)</f>
        <v>0</v>
      </c>
      <c r="L21" s="30">
        <f>IF(L23&lt;L3,L3,MROUND(L23,50))</f>
        <v>550</v>
      </c>
      <c r="M21" s="73">
        <f>VLOOKUP(L$21,L3:M19,2,FALSE)</f>
        <v>0</v>
      </c>
      <c r="N21" s="30">
        <f>IF(N23&lt;N3,N3,MROUND(N23,50))</f>
        <v>550</v>
      </c>
      <c r="O21" s="19">
        <f>VLOOKUP(N$21,N3:O19,2,FALSE)</f>
        <v>0</v>
      </c>
    </row>
    <row r="22" spans="2:15" x14ac:dyDescent="0.3">
      <c r="B22" s="68" t="s">
        <v>83</v>
      </c>
      <c r="C22" s="26">
        <f>IF(C23&gt;C21,C21+50,IF(C21-50&lt;C3,C3,C21-50))</f>
        <v>500</v>
      </c>
      <c r="D22" s="27">
        <f>VLOOKUP(C$22,C3:D19,2,FALSE)</f>
        <v>1.64</v>
      </c>
      <c r="E22" s="26">
        <f>IF(E23&gt;E21,E21+50,IF(E21-50&lt;E3,E3,E21-50))</f>
        <v>500</v>
      </c>
      <c r="F22" s="27">
        <f>VLOOKUP(E$22,E3:F19,2,FALSE)</f>
        <v>2</v>
      </c>
      <c r="G22" s="26">
        <f>IF(G23&gt;G21,G21+50,IF(G21-50&lt;G3,G3,G21-50))</f>
        <v>500</v>
      </c>
      <c r="H22" s="33">
        <f>VLOOKUP(G$22,G3:H19,2,FALSE)</f>
        <v>1.99</v>
      </c>
      <c r="I22" s="4"/>
      <c r="J22" s="35">
        <f>IF(J23&gt;J21,J21+50,IF(J21-50&lt;J3,J3,J21-50))</f>
        <v>500</v>
      </c>
      <c r="K22" s="25">
        <f>VLOOKUP(J$22,J3:K19,2,FALSE)</f>
        <v>0</v>
      </c>
      <c r="L22" s="26">
        <f>IF(L23&gt;L21,L21+50,IF(L21-50&lt;L3,L3,L21-50))</f>
        <v>500</v>
      </c>
      <c r="M22" s="25">
        <f>VLOOKUP(L$22,L3:M19,2,FALSE)</f>
        <v>0</v>
      </c>
      <c r="N22" s="26">
        <f>IF(N23&gt;N21,N21+50,IF(N21-50&lt;N3,N3,N21-50))</f>
        <v>500</v>
      </c>
      <c r="O22" s="11">
        <f>VLOOKUP(N$22,N3:O19,2,FALSE)</f>
        <v>0</v>
      </c>
    </row>
    <row r="23" spans="2:15" ht="15" thickBot="1" x14ac:dyDescent="0.35">
      <c r="B23" s="69" t="s">
        <v>84</v>
      </c>
      <c r="C23" s="70">
        <f>$B$59</f>
        <v>528.97835858172834</v>
      </c>
      <c r="D23" s="71">
        <f>IF(C21=C22,D21,IF(C23&gt;C8,0,D21+(D22-D21)/(C22-C21)*(C23-C21)))</f>
        <v>1.5994302979855803</v>
      </c>
      <c r="E23" s="70">
        <f>$B$59</f>
        <v>528.97835858172834</v>
      </c>
      <c r="F23" s="71">
        <f>IF(E21=E22,F21,IF(E23&gt;E16,0,F21+(F22-F21)/(E22-E21)*(E23-E21)))</f>
        <v>2</v>
      </c>
      <c r="G23" s="70">
        <f>$B$59</f>
        <v>528.97835858172834</v>
      </c>
      <c r="H23" s="72">
        <f>IF(G21=G22,H21,IF(G23&gt;G19,0,H21+(H22-H21)/(G22-G21)*(G23-G21)))</f>
        <v>1.9668173131346174</v>
      </c>
      <c r="I23" s="66"/>
      <c r="J23" s="74">
        <f>$B$59</f>
        <v>528.97835858172834</v>
      </c>
      <c r="K23" s="71">
        <f>IF(J21=J22,K21,IF(J23&gt;J19,0,K21+(K22-K21)/(J22-J21)*(J23-J21)))</f>
        <v>0</v>
      </c>
      <c r="L23" s="70">
        <f>$B$59</f>
        <v>528.97835858172834</v>
      </c>
      <c r="M23" s="71">
        <f>IF(L21=L22,M21,IF(L23&gt;L19,0,M21+(M22-M21)/(L22-L21)*(L23-L21)))</f>
        <v>0</v>
      </c>
      <c r="N23" s="70">
        <f>$B$59</f>
        <v>528.97835858172834</v>
      </c>
      <c r="O23" s="72">
        <f>IF(N21=N22,O21,IF(N23&gt;N19,0,O21+(O22-O21)/(N22-N21)*(N23-N21)))</f>
        <v>0</v>
      </c>
    </row>
    <row r="25" spans="2:15" ht="15" thickBot="1" x14ac:dyDescent="0.35"/>
    <row r="26" spans="2:15" ht="14.4" customHeight="1" x14ac:dyDescent="0.3">
      <c r="B26" s="213" t="s">
        <v>76</v>
      </c>
      <c r="C26" s="9">
        <v>500</v>
      </c>
      <c r="D26" s="18">
        <v>2</v>
      </c>
      <c r="E26" s="17">
        <f>C26</f>
        <v>500</v>
      </c>
      <c r="F26" s="19">
        <v>2</v>
      </c>
      <c r="G26" s="20">
        <f>C26</f>
        <v>500</v>
      </c>
      <c r="H26" s="19">
        <v>2</v>
      </c>
      <c r="J26" s="17">
        <f>C26</f>
        <v>500</v>
      </c>
      <c r="K26" s="18">
        <v>0</v>
      </c>
      <c r="L26" s="17">
        <f>J26</f>
        <v>500</v>
      </c>
      <c r="M26" s="19">
        <v>0</v>
      </c>
      <c r="N26" s="20">
        <f>J26</f>
        <v>500</v>
      </c>
      <c r="O26" s="19">
        <v>0</v>
      </c>
    </row>
    <row r="27" spans="2:15" ht="14.4" customHeight="1" x14ac:dyDescent="0.3">
      <c r="B27" s="214"/>
      <c r="C27" s="9">
        <v>550</v>
      </c>
      <c r="D27" s="11">
        <v>2</v>
      </c>
      <c r="E27" s="5">
        <f>C27</f>
        <v>550</v>
      </c>
      <c r="F27" s="138">
        <f>ROUND(F26+(F29-F26)/3,2)</f>
        <v>1.97</v>
      </c>
      <c r="G27" s="8">
        <f>C27</f>
        <v>550</v>
      </c>
      <c r="H27" s="11">
        <v>2</v>
      </c>
      <c r="J27" s="5">
        <f>C27</f>
        <v>550</v>
      </c>
      <c r="K27" s="11">
        <f>AVERAGE(K26,K28)</f>
        <v>0</v>
      </c>
      <c r="L27" s="5">
        <f>J27</f>
        <v>550</v>
      </c>
      <c r="M27" s="11">
        <f>AVERAGE(M26,M28)</f>
        <v>0</v>
      </c>
      <c r="N27" s="8">
        <f>J27</f>
        <v>550</v>
      </c>
      <c r="O27" s="11">
        <f>AVERAGE(O26,O28)</f>
        <v>0</v>
      </c>
    </row>
    <row r="28" spans="2:15" x14ac:dyDescent="0.3">
      <c r="B28" s="214"/>
      <c r="C28" s="9">
        <v>600</v>
      </c>
      <c r="D28" s="10">
        <v>2</v>
      </c>
      <c r="E28" s="9">
        <f t="shared" ref="E28:E41" si="3">C28</f>
        <v>600</v>
      </c>
      <c r="F28" s="138">
        <f>ROUND(F26+2*(F29-F26)/3,2)</f>
        <v>1.94</v>
      </c>
      <c r="G28" s="12">
        <f t="shared" ref="G28:G41" si="4">C28</f>
        <v>600</v>
      </c>
      <c r="H28" s="11">
        <v>2</v>
      </c>
      <c r="J28" s="9">
        <f>C28</f>
        <v>600</v>
      </c>
      <c r="K28" s="10">
        <v>0</v>
      </c>
      <c r="L28" s="9">
        <f t="shared" ref="L28:L41" si="5">J28</f>
        <v>600</v>
      </c>
      <c r="M28" s="11">
        <v>0</v>
      </c>
      <c r="N28" s="12">
        <f t="shared" ref="N28:N40" si="6">J28</f>
        <v>600</v>
      </c>
      <c r="O28" s="11">
        <v>0</v>
      </c>
    </row>
    <row r="29" spans="2:15" x14ac:dyDescent="0.3">
      <c r="B29" s="214"/>
      <c r="C29" s="9">
        <v>650</v>
      </c>
      <c r="D29" s="10">
        <v>2</v>
      </c>
      <c r="E29" s="9">
        <f t="shared" si="3"/>
        <v>650</v>
      </c>
      <c r="F29" s="11">
        <v>1.91</v>
      </c>
      <c r="G29" s="12">
        <f t="shared" si="4"/>
        <v>650</v>
      </c>
      <c r="H29" s="11">
        <v>2</v>
      </c>
      <c r="J29" s="9">
        <f t="shared" ref="J29:J40" si="7">C29</f>
        <v>650</v>
      </c>
      <c r="K29" s="10">
        <v>0</v>
      </c>
      <c r="L29" s="9">
        <f t="shared" si="5"/>
        <v>650</v>
      </c>
      <c r="M29" s="11">
        <v>0</v>
      </c>
      <c r="N29" s="12">
        <f t="shared" si="6"/>
        <v>650</v>
      </c>
      <c r="O29" s="11">
        <v>0</v>
      </c>
    </row>
    <row r="30" spans="2:15" x14ac:dyDescent="0.3">
      <c r="B30" s="214"/>
      <c r="C30" s="9">
        <v>700</v>
      </c>
      <c r="D30" s="10">
        <v>2</v>
      </c>
      <c r="E30" s="9">
        <f t="shared" si="3"/>
        <v>700</v>
      </c>
      <c r="F30" s="138">
        <f>ROUND(F29+(F33-F29)/4,2)</f>
        <v>1.82</v>
      </c>
      <c r="G30" s="12">
        <f t="shared" si="4"/>
        <v>700</v>
      </c>
      <c r="H30" s="138">
        <f>ROUND(H29+(H33-H29)/4,2)</f>
        <v>1.94</v>
      </c>
      <c r="J30" s="9">
        <f t="shared" si="7"/>
        <v>700</v>
      </c>
      <c r="K30" s="10">
        <v>0</v>
      </c>
      <c r="L30" s="9">
        <f t="shared" si="5"/>
        <v>700</v>
      </c>
      <c r="M30" s="11">
        <v>0</v>
      </c>
      <c r="N30" s="12">
        <f t="shared" si="6"/>
        <v>700</v>
      </c>
      <c r="O30" s="11">
        <v>0</v>
      </c>
    </row>
    <row r="31" spans="2:15" x14ac:dyDescent="0.3">
      <c r="B31" s="214"/>
      <c r="C31" s="9">
        <v>750</v>
      </c>
      <c r="D31" s="10">
        <v>2</v>
      </c>
      <c r="E31" s="9">
        <f t="shared" si="3"/>
        <v>750</v>
      </c>
      <c r="F31" s="11">
        <f>ROUND(F29+2*(F33-F29)/4,2)</f>
        <v>1.73</v>
      </c>
      <c r="G31" s="12">
        <f t="shared" si="4"/>
        <v>750</v>
      </c>
      <c r="H31" s="11">
        <f>ROUND(H29+2*(H33-H29)/4,2)</f>
        <v>1.88</v>
      </c>
      <c r="J31" s="9">
        <f t="shared" si="7"/>
        <v>750</v>
      </c>
      <c r="K31" s="10">
        <v>0</v>
      </c>
      <c r="L31" s="9">
        <f t="shared" si="5"/>
        <v>750</v>
      </c>
      <c r="M31" s="11">
        <v>0</v>
      </c>
      <c r="N31" s="12">
        <f t="shared" si="6"/>
        <v>750</v>
      </c>
      <c r="O31" s="11">
        <v>0</v>
      </c>
    </row>
    <row r="32" spans="2:15" x14ac:dyDescent="0.3">
      <c r="B32" s="214"/>
      <c r="C32" s="9">
        <v>800</v>
      </c>
      <c r="D32" s="10">
        <v>2</v>
      </c>
      <c r="E32" s="9">
        <f t="shared" si="3"/>
        <v>800</v>
      </c>
      <c r="F32" s="11">
        <f>ROUND(F29+3*(F33-F29)/4,2)</f>
        <v>1.64</v>
      </c>
      <c r="G32" s="12">
        <f t="shared" si="4"/>
        <v>800</v>
      </c>
      <c r="H32" s="11">
        <f>ROUND(H29+3*(H33-H29)/4,2)</f>
        <v>1.81</v>
      </c>
      <c r="J32" s="9">
        <f t="shared" si="7"/>
        <v>800</v>
      </c>
      <c r="K32" s="10">
        <v>0</v>
      </c>
      <c r="L32" s="9">
        <f t="shared" si="5"/>
        <v>800</v>
      </c>
      <c r="M32" s="11">
        <v>0</v>
      </c>
      <c r="N32" s="12">
        <f t="shared" si="6"/>
        <v>800</v>
      </c>
      <c r="O32" s="11">
        <v>0</v>
      </c>
    </row>
    <row r="33" spans="1:15" x14ac:dyDescent="0.3">
      <c r="B33" s="214"/>
      <c r="C33" s="9">
        <v>850</v>
      </c>
      <c r="D33" s="10">
        <v>2</v>
      </c>
      <c r="E33" s="9">
        <f t="shared" si="3"/>
        <v>850</v>
      </c>
      <c r="F33" s="11">
        <v>1.55</v>
      </c>
      <c r="G33" s="12">
        <f t="shared" si="4"/>
        <v>850</v>
      </c>
      <c r="H33" s="11">
        <v>1.75</v>
      </c>
      <c r="J33" s="9">
        <f t="shared" si="7"/>
        <v>850</v>
      </c>
      <c r="K33" s="10">
        <v>0</v>
      </c>
      <c r="L33" s="9">
        <f t="shared" si="5"/>
        <v>850</v>
      </c>
      <c r="M33" s="11">
        <v>0</v>
      </c>
      <c r="N33" s="12">
        <f t="shared" si="6"/>
        <v>850</v>
      </c>
      <c r="O33" s="11">
        <v>0</v>
      </c>
    </row>
    <row r="34" spans="1:15" x14ac:dyDescent="0.3">
      <c r="B34" s="214"/>
      <c r="C34" s="9">
        <v>900</v>
      </c>
      <c r="D34" s="11">
        <f>ROUND(AVERAGE(D33,D35),2)</f>
        <v>1.89</v>
      </c>
      <c r="E34" s="9">
        <f t="shared" si="3"/>
        <v>900</v>
      </c>
      <c r="F34" s="11">
        <f>ROUND(AVERAGE(F33,F35),2)</f>
        <v>1.45</v>
      </c>
      <c r="G34" s="12">
        <f t="shared" si="4"/>
        <v>900</v>
      </c>
      <c r="H34" s="11">
        <f>ROUND(AVERAGE(H33,H35),2)</f>
        <v>1.66</v>
      </c>
      <c r="J34" s="9">
        <f t="shared" si="7"/>
        <v>900</v>
      </c>
      <c r="K34" s="10">
        <v>0</v>
      </c>
      <c r="L34" s="9">
        <f t="shared" si="5"/>
        <v>900</v>
      </c>
      <c r="M34" s="11">
        <v>0</v>
      </c>
      <c r="N34" s="12">
        <f t="shared" si="6"/>
        <v>900</v>
      </c>
      <c r="O34" s="11">
        <v>0</v>
      </c>
    </row>
    <row r="35" spans="1:15" x14ac:dyDescent="0.3">
      <c r="B35" s="214"/>
      <c r="C35" s="9">
        <v>950</v>
      </c>
      <c r="D35" s="10">
        <v>1.77</v>
      </c>
      <c r="E35" s="9">
        <f t="shared" si="3"/>
        <v>950</v>
      </c>
      <c r="F35" s="11">
        <v>1.35</v>
      </c>
      <c r="G35" s="12">
        <f t="shared" si="4"/>
        <v>950</v>
      </c>
      <c r="H35" s="11">
        <v>1.56</v>
      </c>
      <c r="J35" s="9">
        <f t="shared" si="7"/>
        <v>950</v>
      </c>
      <c r="K35" s="10">
        <v>0</v>
      </c>
      <c r="L35" s="9">
        <f t="shared" si="5"/>
        <v>950</v>
      </c>
      <c r="M35" s="11">
        <v>0</v>
      </c>
      <c r="N35" s="12">
        <f t="shared" si="6"/>
        <v>950</v>
      </c>
      <c r="O35" s="11">
        <v>0</v>
      </c>
    </row>
    <row r="36" spans="1:15" x14ac:dyDescent="0.3">
      <c r="B36" s="214"/>
      <c r="C36" s="9">
        <v>1000</v>
      </c>
      <c r="D36" s="11">
        <f>ROUND(AVERAGE(D35,D37),2)</f>
        <v>1.68</v>
      </c>
      <c r="E36" s="9">
        <f t="shared" si="3"/>
        <v>1000</v>
      </c>
      <c r="F36" s="11">
        <v>0</v>
      </c>
      <c r="G36" s="12">
        <f t="shared" si="4"/>
        <v>1000</v>
      </c>
      <c r="H36" s="11">
        <f>ROUND(AVERAGE(H35,H37),2)</f>
        <v>1.46</v>
      </c>
      <c r="J36" s="9">
        <f t="shared" si="7"/>
        <v>1000</v>
      </c>
      <c r="K36" s="10">
        <v>0</v>
      </c>
      <c r="L36" s="9">
        <f t="shared" si="5"/>
        <v>1000</v>
      </c>
      <c r="M36" s="11">
        <v>0</v>
      </c>
      <c r="N36" s="12">
        <f t="shared" si="6"/>
        <v>1000</v>
      </c>
      <c r="O36" s="11">
        <v>0</v>
      </c>
    </row>
    <row r="37" spans="1:15" x14ac:dyDescent="0.3">
      <c r="B37" s="214"/>
      <c r="C37" s="21">
        <v>1050</v>
      </c>
      <c r="D37" s="10">
        <v>1.58</v>
      </c>
      <c r="E37" s="9">
        <f t="shared" si="3"/>
        <v>1050</v>
      </c>
      <c r="F37" s="11">
        <v>0</v>
      </c>
      <c r="G37" s="12">
        <f t="shared" si="4"/>
        <v>1050</v>
      </c>
      <c r="H37" s="11">
        <v>1.36</v>
      </c>
      <c r="J37" s="9">
        <f t="shared" si="7"/>
        <v>1050</v>
      </c>
      <c r="K37" s="10">
        <v>0</v>
      </c>
      <c r="L37" s="9">
        <f t="shared" si="5"/>
        <v>1050</v>
      </c>
      <c r="M37" s="11">
        <v>0</v>
      </c>
      <c r="N37" s="12">
        <f t="shared" si="6"/>
        <v>1050</v>
      </c>
      <c r="O37" s="11">
        <v>0</v>
      </c>
    </row>
    <row r="38" spans="1:15" x14ac:dyDescent="0.3">
      <c r="B38" s="214"/>
      <c r="C38" s="9">
        <v>1100</v>
      </c>
      <c r="D38" s="10">
        <v>0</v>
      </c>
      <c r="E38" s="9">
        <f t="shared" si="3"/>
        <v>1100</v>
      </c>
      <c r="F38" s="11">
        <v>0</v>
      </c>
      <c r="G38" s="12">
        <f t="shared" si="4"/>
        <v>1100</v>
      </c>
      <c r="H38" s="11">
        <v>0</v>
      </c>
      <c r="J38" s="9">
        <f t="shared" si="7"/>
        <v>1100</v>
      </c>
      <c r="K38" s="10">
        <v>0</v>
      </c>
      <c r="L38" s="9">
        <f t="shared" si="5"/>
        <v>1100</v>
      </c>
      <c r="M38" s="11">
        <v>0</v>
      </c>
      <c r="N38" s="12">
        <f t="shared" si="6"/>
        <v>1100</v>
      </c>
      <c r="O38" s="11">
        <v>0</v>
      </c>
    </row>
    <row r="39" spans="1:15" x14ac:dyDescent="0.3">
      <c r="B39" s="214"/>
      <c r="C39" s="21">
        <v>1150</v>
      </c>
      <c r="D39" s="10">
        <v>0</v>
      </c>
      <c r="E39" s="9">
        <f t="shared" si="3"/>
        <v>1150</v>
      </c>
      <c r="F39" s="11">
        <v>0</v>
      </c>
      <c r="G39" s="12">
        <f t="shared" si="4"/>
        <v>1150</v>
      </c>
      <c r="H39" s="11">
        <v>0</v>
      </c>
      <c r="J39" s="9">
        <f t="shared" si="7"/>
        <v>1150</v>
      </c>
      <c r="K39" s="10">
        <v>0</v>
      </c>
      <c r="L39" s="9">
        <f t="shared" si="5"/>
        <v>1150</v>
      </c>
      <c r="M39" s="11">
        <v>0</v>
      </c>
      <c r="N39" s="12">
        <f t="shared" si="6"/>
        <v>1150</v>
      </c>
      <c r="O39" s="11">
        <v>0</v>
      </c>
    </row>
    <row r="40" spans="1:15" x14ac:dyDescent="0.3">
      <c r="B40" s="214"/>
      <c r="C40" s="9">
        <v>1200</v>
      </c>
      <c r="D40" s="10">
        <v>0</v>
      </c>
      <c r="E40" s="9">
        <f t="shared" si="3"/>
        <v>1200</v>
      </c>
      <c r="F40" s="11">
        <v>0</v>
      </c>
      <c r="G40" s="12">
        <f t="shared" si="4"/>
        <v>1200</v>
      </c>
      <c r="H40" s="11">
        <v>0</v>
      </c>
      <c r="J40" s="9">
        <f t="shared" si="7"/>
        <v>1200</v>
      </c>
      <c r="K40" s="10">
        <v>0</v>
      </c>
      <c r="L40" s="9">
        <f t="shared" si="5"/>
        <v>1200</v>
      </c>
      <c r="M40" s="11">
        <v>0</v>
      </c>
      <c r="N40" s="12">
        <f t="shared" si="6"/>
        <v>1200</v>
      </c>
      <c r="O40" s="11">
        <v>0</v>
      </c>
    </row>
    <row r="41" spans="1:15" ht="15" thickBot="1" x14ac:dyDescent="0.35">
      <c r="B41" s="215"/>
      <c r="C41" s="13">
        <v>1250</v>
      </c>
      <c r="D41" s="14">
        <v>0</v>
      </c>
      <c r="E41" s="13">
        <f t="shared" si="3"/>
        <v>1250</v>
      </c>
      <c r="F41" s="15">
        <v>0</v>
      </c>
      <c r="G41" s="16">
        <f t="shared" si="4"/>
        <v>1250</v>
      </c>
      <c r="H41" s="15">
        <v>0</v>
      </c>
      <c r="J41" s="13">
        <f>C41</f>
        <v>1250</v>
      </c>
      <c r="K41" s="14">
        <v>0</v>
      </c>
      <c r="L41" s="13">
        <f t="shared" si="5"/>
        <v>1250</v>
      </c>
      <c r="M41" s="15">
        <v>0</v>
      </c>
      <c r="N41" s="16">
        <f>J41</f>
        <v>1250</v>
      </c>
      <c r="O41" s="15">
        <v>0</v>
      </c>
    </row>
    <row r="42" spans="1:15" ht="15" thickBot="1" x14ac:dyDescent="0.35"/>
    <row r="43" spans="1:15" x14ac:dyDescent="0.3">
      <c r="A43" s="233" t="s">
        <v>86</v>
      </c>
      <c r="B43" s="29" t="s">
        <v>82</v>
      </c>
      <c r="C43" s="30">
        <f>IF(C45&lt;C26,C26,MROUND(C45,50))</f>
        <v>500</v>
      </c>
      <c r="D43" s="31">
        <f>VLOOKUP(C$43,C26:D41,2,FALSE)</f>
        <v>2</v>
      </c>
      <c r="E43" s="30">
        <f>IF(E45&lt;E26,E26,MROUND(E45,50))</f>
        <v>500</v>
      </c>
      <c r="F43" s="31">
        <f>VLOOKUP(E$43,E26:F41,2,FALSE)</f>
        <v>2</v>
      </c>
      <c r="G43" s="30">
        <f>IF(G45&lt;G26,G26,MROUND(G45,50))</f>
        <v>500</v>
      </c>
      <c r="H43" s="32">
        <f>VLOOKUP(G$43,G26:H41,2,FALSE)</f>
        <v>2</v>
      </c>
      <c r="J43" s="34">
        <f>IF(J45&lt;J26,J26,MROUND(J45,100))</f>
        <v>500</v>
      </c>
      <c r="K43" s="31">
        <f>VLOOKUP(J$43,J26:K41,2,FALSE)</f>
        <v>0</v>
      </c>
      <c r="L43" s="30">
        <f>IF(L45&lt;L26,L26,MROUND(L45,50))</f>
        <v>500</v>
      </c>
      <c r="M43" s="31">
        <f>VLOOKUP(L$43,L26:M41,2,FALSE)</f>
        <v>0</v>
      </c>
      <c r="N43" s="30">
        <f>IF(N45&lt;N26,N26,MROUND(N45,50))</f>
        <v>500</v>
      </c>
      <c r="O43" s="32">
        <f>VLOOKUP(N$43,N26:O41,2,FALSE)</f>
        <v>0</v>
      </c>
    </row>
    <row r="44" spans="1:15" x14ac:dyDescent="0.3">
      <c r="A44" s="234"/>
      <c r="B44" s="28" t="s">
        <v>83</v>
      </c>
      <c r="C44" s="26">
        <f>IF(C45&gt;C43,C43+50,IF(C43-50&lt;C26,C26,C43-50))</f>
        <v>500</v>
      </c>
      <c r="D44" s="27">
        <f>VLOOKUP(C$44,C26:D41,2,FALSE)</f>
        <v>2</v>
      </c>
      <c r="E44" s="26">
        <f>IF(E45&gt;E43,E43+50,IF(E43-50&lt;E26,E26,E43-50))</f>
        <v>500</v>
      </c>
      <c r="F44" s="27">
        <f>VLOOKUP(E$44,E26:F41,2,FALSE)</f>
        <v>2</v>
      </c>
      <c r="G44" s="26">
        <f>IF(G45&gt;G43,G43+50,IF(G43-50&lt;G26,G26,G43-50))</f>
        <v>500</v>
      </c>
      <c r="H44" s="33">
        <f>VLOOKUP(G$44,G26:H41,2,FALSE)</f>
        <v>2</v>
      </c>
      <c r="J44" s="35">
        <f>IF(J45&gt;J43,J43+100,IF(J43-100&lt;J26,J26,J43-100))</f>
        <v>500</v>
      </c>
      <c r="K44" s="27">
        <f>VLOOKUP(J$44,J26:K41,2,FALSE)</f>
        <v>0</v>
      </c>
      <c r="L44" s="26">
        <f>IF(L45&gt;L43,L43+50,IF(L43-50&lt;L26,L26,L43-50))</f>
        <v>500</v>
      </c>
      <c r="M44" s="27">
        <f>VLOOKUP(L$44,L26:M41,2,FALSE)</f>
        <v>0</v>
      </c>
      <c r="N44" s="26">
        <f>IF(N45&gt;N43,N43+50,IF(N43-50&lt;N26,N26,N43-50))</f>
        <v>500</v>
      </c>
      <c r="O44" s="33">
        <f>VLOOKUP(N$44,N26:O41,2,FALSE)</f>
        <v>0</v>
      </c>
    </row>
    <row r="45" spans="1:15" ht="15" thickBot="1" x14ac:dyDescent="0.35">
      <c r="A45" s="235"/>
      <c r="B45" s="46" t="s">
        <v>84</v>
      </c>
      <c r="C45" s="47">
        <f>ABS($B$61)</f>
        <v>278.71394911057934</v>
      </c>
      <c r="D45" s="48">
        <f>IF(C43=C44,D43,IF(C45&gt;C37,0,D43+(D44-D43)/(C44-C43)*(C45-C43)))</f>
        <v>2</v>
      </c>
      <c r="E45" s="47">
        <f>C45</f>
        <v>278.71394911057934</v>
      </c>
      <c r="F45" s="48">
        <f>IF(E43=E44,F43,IF(E45&gt;E35,0,F43+(F44-F43)/(E44-E43)*(E45-E43)))</f>
        <v>2</v>
      </c>
      <c r="G45" s="47">
        <f>C45</f>
        <v>278.71394911057934</v>
      </c>
      <c r="H45" s="49">
        <f>IF(G43=G44,H43,IF(G45&gt;G37,0,H43+(H44-H43)/(G44-G43)*(G45-G43)))</f>
        <v>2</v>
      </c>
      <c r="J45" s="50">
        <f>C45</f>
        <v>278.71394911057934</v>
      </c>
      <c r="K45" s="48">
        <f>IF(J43=J44,K43,IF(J45&gt;J41,0,K43+(K44-K43)/(J44-J43)*(J45-J43)))</f>
        <v>0</v>
      </c>
      <c r="L45" s="47">
        <f>C45</f>
        <v>278.71394911057934</v>
      </c>
      <c r="M45" s="48">
        <f>IF(L43=L44,M43,IF(L45&gt;L41,0,M43+(M44-M43)/(L44-L43)*(L45-L43)))</f>
        <v>0</v>
      </c>
      <c r="N45" s="47">
        <f>C45</f>
        <v>278.71394911057934</v>
      </c>
      <c r="O45" s="49">
        <f>IF(N43=N44,O43,IF(N45&gt;N41,0,O43+(O44-O43)/(N44-N43)*(N45-N43)))</f>
        <v>0</v>
      </c>
    </row>
    <row r="46" spans="1:15" ht="15" thickBot="1" x14ac:dyDescent="0.35">
      <c r="B46" s="2"/>
      <c r="C46" s="4"/>
      <c r="D46" s="4"/>
      <c r="E46" s="4"/>
      <c r="F46" s="4"/>
      <c r="G46" s="4"/>
      <c r="H46" s="4"/>
      <c r="J46" s="4"/>
      <c r="K46" s="4"/>
      <c r="L46" s="4"/>
      <c r="M46" s="4"/>
      <c r="N46" s="4"/>
      <c r="O46" s="4"/>
    </row>
    <row r="47" spans="1:15" x14ac:dyDescent="0.3">
      <c r="A47" s="236" t="s">
        <v>87</v>
      </c>
      <c r="B47" s="29" t="s">
        <v>82</v>
      </c>
      <c r="C47" s="30">
        <f>IF(C49&lt;C26,C26,MROUND(C49,50))</f>
        <v>600</v>
      </c>
      <c r="D47" s="31">
        <f>VLOOKUP(C$47,C26:D41,2,FALSE)</f>
        <v>2</v>
      </c>
      <c r="E47" s="30">
        <f>IF(E49&lt;E26,E26,MROUND(E49,50))</f>
        <v>600</v>
      </c>
      <c r="F47" s="31">
        <f>VLOOKUP(E$47,E26:F41,2,FALSE)</f>
        <v>1.94</v>
      </c>
      <c r="G47" s="30">
        <f>IF(G49&lt;G26,G26,MROUND(G49,50))</f>
        <v>600</v>
      </c>
      <c r="H47" s="32">
        <f>VLOOKUP(G$47,G26:H41,2,FALSE)</f>
        <v>2</v>
      </c>
      <c r="J47" s="34">
        <f>IF(J49&lt;J26,J26,MROUND(J49,50))</f>
        <v>600</v>
      </c>
      <c r="K47" s="31">
        <f>VLOOKUP(J$47,J26:K41,2,FALSE)</f>
        <v>0</v>
      </c>
      <c r="L47" s="30">
        <f>IF(L49&lt;L26,L26,MROUND(L49,50))</f>
        <v>600</v>
      </c>
      <c r="M47" s="31">
        <f>VLOOKUP(L$47,L26:M41,2,FALSE)</f>
        <v>0</v>
      </c>
      <c r="N47" s="30">
        <f>IF(N49&lt;N26,N26,MROUND(N49,50))</f>
        <v>600</v>
      </c>
      <c r="O47" s="32">
        <f>VLOOKUP(N$47,N26:O41,2,FALSE)</f>
        <v>0</v>
      </c>
    </row>
    <row r="48" spans="1:15" x14ac:dyDescent="0.3">
      <c r="A48" s="237"/>
      <c r="B48" s="28" t="s">
        <v>83</v>
      </c>
      <c r="C48" s="26">
        <f>IF(C49&gt;C47,C47+50,IF(C47-50&lt;C26,C26,C47-50))</f>
        <v>650</v>
      </c>
      <c r="D48" s="27">
        <f>VLOOKUP(C$48,C26:D41,2,FALSE)</f>
        <v>2</v>
      </c>
      <c r="E48" s="26">
        <f>IF(E49&gt;E47,E47+50,IF(E47-50&lt;E26,E26,E47-50))</f>
        <v>650</v>
      </c>
      <c r="F48" s="27">
        <f>VLOOKUP(E$48,E26:F41,2,FALSE)</f>
        <v>1.91</v>
      </c>
      <c r="G48" s="26">
        <f>IF(G49&gt;G47,G47+50,IF(G47-50&lt;G26,G26,G47-50))</f>
        <v>650</v>
      </c>
      <c r="H48" s="33">
        <f>VLOOKUP(G$48,G26:H41,2,FALSE)</f>
        <v>2</v>
      </c>
      <c r="J48" s="35">
        <f>IF(J49&gt;J47,J47+50,IF(J47-50&lt;J26,J26,J47-50))</f>
        <v>650</v>
      </c>
      <c r="K48" s="27">
        <f>VLOOKUP(J$48,J26:K41,2,FALSE)</f>
        <v>0</v>
      </c>
      <c r="L48" s="26">
        <f>IF(L49&gt;L47,L47+50,IF(L47-50&lt;L26,L26,L47-50))</f>
        <v>650</v>
      </c>
      <c r="M48" s="27">
        <f>VLOOKUP(L$48,L26:M41,2,FALSE)</f>
        <v>0</v>
      </c>
      <c r="N48" s="26">
        <f>IF(N49&gt;N47,N47+50,IF(N47-50&lt;N26,N26,N47-50))</f>
        <v>650</v>
      </c>
      <c r="O48" s="33">
        <f>VLOOKUP(N$48,N26:O41,2,FALSE)</f>
        <v>0</v>
      </c>
    </row>
    <row r="49" spans="1:15" ht="15" thickBot="1" x14ac:dyDescent="0.35">
      <c r="A49" s="238"/>
      <c r="B49" s="36" t="s">
        <v>84</v>
      </c>
      <c r="C49" s="37">
        <f>ABS($B$62)</f>
        <v>603.71394911057928</v>
      </c>
      <c r="D49" s="38">
        <f>IF(C47=C48,D47,IF(C49&gt;C37,0,D47+(D48-D47)/(C48-C47)*(C49-C47)))</f>
        <v>2</v>
      </c>
      <c r="E49" s="37">
        <f>ABS($B$62)</f>
        <v>603.71394911057928</v>
      </c>
      <c r="F49" s="38">
        <f>IF(E47=E48,F47,IF(E49&gt;E35,0,F47+(F48-F47)/(E48-E47)*(E49-E47)))</f>
        <v>1.9377716305336523</v>
      </c>
      <c r="G49" s="37">
        <f>ABS($B$62)</f>
        <v>603.71394911057928</v>
      </c>
      <c r="H49" s="39">
        <f>IF(G47=G48,H47,IF(G49&gt;G37,0,H47+(H48-H47)/(G48-G47)*(G49-G47)))</f>
        <v>2</v>
      </c>
      <c r="J49" s="40">
        <f>ABS($B$62)</f>
        <v>603.71394911057928</v>
      </c>
      <c r="K49" s="38">
        <f>IF(J47=J48,K47,IF(J49&gt;J41,0,K47+(K48-K47)/(J48-J47)*(J49-J47)))</f>
        <v>0</v>
      </c>
      <c r="L49" s="37">
        <f>ABS($B$62)</f>
        <v>603.71394911057928</v>
      </c>
      <c r="M49" s="38">
        <f>IF(L47=L48,M47,IF(L49&gt;L41,0,M47+(M48-M47)/(L48-L47)*(L49-L47)))</f>
        <v>0</v>
      </c>
      <c r="N49" s="37">
        <f>ABS($B$62)</f>
        <v>603.71394911057928</v>
      </c>
      <c r="O49" s="39">
        <f>IF(N47=N48,O47,IF(N49&gt;N41,0,O47+(O48-O47)/(N48-N47)*(N49-N47)))</f>
        <v>0</v>
      </c>
    </row>
    <row r="50" spans="1:15" ht="15" thickBot="1" x14ac:dyDescent="0.35">
      <c r="B50" s="2"/>
      <c r="C50" s="4"/>
      <c r="D50" s="4"/>
      <c r="E50" s="4"/>
      <c r="F50" s="4"/>
      <c r="G50" s="4"/>
      <c r="H50" s="4"/>
      <c r="J50" s="4"/>
      <c r="K50" s="4"/>
      <c r="L50" s="4"/>
      <c r="M50" s="4"/>
      <c r="N50" s="4"/>
      <c r="O50" s="4"/>
    </row>
    <row r="51" spans="1:15" x14ac:dyDescent="0.3">
      <c r="A51" s="239" t="s">
        <v>66</v>
      </c>
      <c r="B51" s="29" t="s">
        <v>82</v>
      </c>
      <c r="C51" s="30">
        <f>IF(C53&lt;C26,C26,MROUND(C53,50))</f>
        <v>950</v>
      </c>
      <c r="D51" s="31">
        <f>VLOOKUP(C$51,C26:D41,2,FALSE)</f>
        <v>1.77</v>
      </c>
      <c r="E51" s="30">
        <f>IF(E53&lt;E26,E26,MROUND(E53,50))</f>
        <v>950</v>
      </c>
      <c r="F51" s="31">
        <f>VLOOKUP(E$51,E26:F41,2,FALSE)</f>
        <v>1.35</v>
      </c>
      <c r="G51" s="30">
        <f>IF(G53&lt;G26,G26,MROUND(G53,50))</f>
        <v>950</v>
      </c>
      <c r="H51" s="32">
        <f>VLOOKUP(G$51,G26:H41,2,FALSE)</f>
        <v>1.56</v>
      </c>
      <c r="J51" s="34">
        <f>IF(J53&lt;J26,J26,MROUND(J53,50))</f>
        <v>950</v>
      </c>
      <c r="K51" s="31">
        <f>VLOOKUP(J$51,J26:K41,2,FALSE)</f>
        <v>0</v>
      </c>
      <c r="L51" s="30">
        <f>IF(L53&lt;L26,L26,MROUND(L53,50))</f>
        <v>950</v>
      </c>
      <c r="M51" s="31">
        <f>VLOOKUP(L$51,L26:M41,2,FALSE)</f>
        <v>0</v>
      </c>
      <c r="N51" s="30">
        <f>IF(N53&lt;N26,N26,MROUND(N53,50))</f>
        <v>950</v>
      </c>
      <c r="O51" s="32">
        <f>VLOOKUP(N$51,N26:O41,2,FALSE)</f>
        <v>0</v>
      </c>
    </row>
    <row r="52" spans="1:15" x14ac:dyDescent="0.3">
      <c r="A52" s="240"/>
      <c r="B52" s="28" t="s">
        <v>83</v>
      </c>
      <c r="C52" s="26">
        <f>IF(C53&gt;C51,C51+50,IF(C51-50&lt;C26,C26,C51-50))</f>
        <v>1000</v>
      </c>
      <c r="D52" s="27">
        <f>VLOOKUP(C$52,C26:D41,2,FALSE)</f>
        <v>1.68</v>
      </c>
      <c r="E52" s="26">
        <f>IF(E53&gt;E51,E51+50,IF(E51-50&lt;E26,E26,E51-50))</f>
        <v>1000</v>
      </c>
      <c r="F52" s="27">
        <f>VLOOKUP(E$52,E26:F41,2,FALSE)</f>
        <v>0</v>
      </c>
      <c r="G52" s="26">
        <f>IF(G53&gt;G51,G51+50,IF(G51-50&lt;G26,G26,G51-50))</f>
        <v>1000</v>
      </c>
      <c r="H52" s="33">
        <f>VLOOKUP(G$52,G26:H41,2,FALSE)</f>
        <v>1.46</v>
      </c>
      <c r="J52" s="35">
        <f>IF(J53&gt;J51,J51+50,IF(J51-50&lt;J26,J26,J51-50))</f>
        <v>1000</v>
      </c>
      <c r="K52" s="27">
        <f>VLOOKUP(J$52,J26:K41,2,FALSE)</f>
        <v>0</v>
      </c>
      <c r="L52" s="26">
        <f>IF(L53&gt;L51,L51+50,IF(L51-50&lt;L26,L26,L51-50))</f>
        <v>1000</v>
      </c>
      <c r="M52" s="27">
        <f>VLOOKUP(L$52,L26:M41,2,FALSE)</f>
        <v>0</v>
      </c>
      <c r="N52" s="26">
        <f>IF(N53&gt;N51,N51+50,IF(N51-50&lt;N26,N26,N51-50))</f>
        <v>1000</v>
      </c>
      <c r="O52" s="33">
        <f>VLOOKUP(N$52,N26:O41,2,FALSE)</f>
        <v>0</v>
      </c>
    </row>
    <row r="53" spans="1:15" ht="15" thickBot="1" x14ac:dyDescent="0.35">
      <c r="A53" s="241"/>
      <c r="B53" s="41" t="s">
        <v>84</v>
      </c>
      <c r="C53" s="42">
        <f>ABS($B$63)</f>
        <v>953.71394911057928</v>
      </c>
      <c r="D53" s="43">
        <f>IF(C51=C52,D51,IF(C53&gt;C37,0,D51+(D52-D51)/(C52-C51)*(C53-C51)))</f>
        <v>1.7633148916009573</v>
      </c>
      <c r="E53" s="42">
        <f>ABS($B$63)</f>
        <v>953.71394911057928</v>
      </c>
      <c r="F53" s="43">
        <f>IF(E51=E52,F51,IF(E53&gt;E35,0,F51+(F52-F51)/(E52-E51)*(E53-E51)))</f>
        <v>0</v>
      </c>
      <c r="G53" s="42">
        <f>ABS($B$63)</f>
        <v>953.71394911057928</v>
      </c>
      <c r="H53" s="44">
        <f>IF(G51=G52,H51,IF(G53&gt;G37,0,H51+(H52-H51)/(G52-G51)*(G53-G51)))</f>
        <v>1.5525721017788414</v>
      </c>
      <c r="J53" s="45">
        <f>ABS($B$63)</f>
        <v>953.71394911057928</v>
      </c>
      <c r="K53" s="43">
        <f>IF(J51=J52,K51,IF(J53&gt;J41,0,K51+(K52-K51)/(J52-J51)*(J53-J51)))</f>
        <v>0</v>
      </c>
      <c r="L53" s="42">
        <f>ABS($B$63)</f>
        <v>953.71394911057928</v>
      </c>
      <c r="M53" s="43">
        <f>IF(L51=L52,M51,IF(L53&gt;L41,0,M51+(M52-M51)/(L52-L51)*(L53-L51)))</f>
        <v>0</v>
      </c>
      <c r="N53" s="42">
        <f>ABS($B$63)</f>
        <v>953.71394911057928</v>
      </c>
      <c r="O53" s="44">
        <f>IF(N51=N52,O51,IF(N53&gt;N41,0,O51+(O52-O51)/(N52-N51)*(N53-N51)))</f>
        <v>0</v>
      </c>
    </row>
    <row r="57" spans="1:15" x14ac:dyDescent="0.3">
      <c r="A57" t="s">
        <v>77</v>
      </c>
      <c r="B57" t="str">
        <f>Données!D25</f>
        <v>4 appuis</v>
      </c>
    </row>
    <row r="58" spans="1:15" x14ac:dyDescent="0.3">
      <c r="A58" t="s">
        <v>4</v>
      </c>
      <c r="B58">
        <f>Données!D24</f>
        <v>1.5</v>
      </c>
      <c r="C58" t="s">
        <v>32</v>
      </c>
      <c r="D58" s="4" t="s">
        <v>88</v>
      </c>
      <c r="E58" s="4" t="s">
        <v>85</v>
      </c>
      <c r="F58" s="4" t="s">
        <v>89</v>
      </c>
      <c r="G58" s="4" t="s">
        <v>85</v>
      </c>
    </row>
    <row r="59" spans="1:15" x14ac:dyDescent="0.3">
      <c r="A59" s="63" t="s">
        <v>78</v>
      </c>
      <c r="B59" s="63">
        <f>Neige!H17</f>
        <v>528.97835858172834</v>
      </c>
      <c r="D59" s="64">
        <f>IF(B57=C2,D23,IF(B57=E2,F23,H23))</f>
        <v>1.9668173131346174</v>
      </c>
      <c r="E59" s="65">
        <f>IF(D59&gt;=B58,1,0)</f>
        <v>1</v>
      </c>
      <c r="F59" s="64">
        <f>IF(B57=J2,K23,IF(B57=L2,M23,O23))</f>
        <v>0</v>
      </c>
      <c r="G59" s="65">
        <f>IF(F59&gt;=B58,1,0)</f>
        <v>0</v>
      </c>
    </row>
    <row r="60" spans="1:15" x14ac:dyDescent="0.3">
      <c r="D60" s="24"/>
      <c r="E60" s="4"/>
      <c r="F60" s="24"/>
      <c r="G60" s="4"/>
    </row>
    <row r="61" spans="1:15" x14ac:dyDescent="0.3">
      <c r="A61" s="51" t="s">
        <v>79</v>
      </c>
      <c r="B61" s="52">
        <f>Vent!H18</f>
        <v>-278.71394911057934</v>
      </c>
      <c r="D61" s="53">
        <f>IF(B57=C2,D45,IF(B57=E2,F45,H45))</f>
        <v>2</v>
      </c>
      <c r="E61" s="54">
        <f>IF(D61&gt;=B58,1,0)</f>
        <v>1</v>
      </c>
      <c r="F61" s="53">
        <f>IF(B57=J2,K45,IF(B57=L2,M45,O45))</f>
        <v>0</v>
      </c>
      <c r="G61" s="54">
        <f>IF(F61&gt;=B58,1,0)</f>
        <v>0</v>
      </c>
      <c r="I61" s="204" t="str">
        <f>IF($E$59*E61=1,"Possible avec 2 short rails",IF($G$59*G61=1,"Possible uniquement avec 3 short rails","Impossible d'installer PRIMA"))</f>
        <v>Possible avec 2 short rails</v>
      </c>
      <c r="J61" s="204"/>
      <c r="K61" s="204"/>
      <c r="L61" s="3">
        <f>MIN($D$59,D61)</f>
        <v>1.9668173131346174</v>
      </c>
      <c r="M61" s="3">
        <f>MIN($F$59,F61)</f>
        <v>0</v>
      </c>
      <c r="N61" s="3"/>
    </row>
    <row r="62" spans="1:15" x14ac:dyDescent="0.3">
      <c r="A62" s="55" t="s">
        <v>80</v>
      </c>
      <c r="B62" s="56">
        <f>Vent!H19</f>
        <v>-603.71394911057928</v>
      </c>
      <c r="D62" s="57">
        <f>IF(B57=C2,D49,IF(B57=E2,F49,H49))</f>
        <v>2</v>
      </c>
      <c r="E62" s="58">
        <f>IF(D62&gt;=B58,1,0)</f>
        <v>1</v>
      </c>
      <c r="F62" s="57">
        <f>IF(B57=J2,K49,IF(B57=L2,M49,O49))</f>
        <v>0</v>
      </c>
      <c r="G62" s="58">
        <f>IF(F62&gt;=B58,1,0)</f>
        <v>0</v>
      </c>
      <c r="I62" s="205" t="str">
        <f t="shared" ref="I62" si="8">IF($E$59*E62=1,"Possible avec 2 short rails",IF($G$59*G62=1,"Possible uniquement avec 3 short rails","Impossible d'installer PRIMA"))</f>
        <v>Possible avec 2 short rails</v>
      </c>
      <c r="J62" s="205"/>
      <c r="K62" s="205"/>
      <c r="L62" s="3">
        <f t="shared" ref="L62:L63" si="9">MIN($D$59,D62)</f>
        <v>1.9668173131346174</v>
      </c>
      <c r="M62" s="3">
        <f>MIN($F$59,F62)</f>
        <v>0</v>
      </c>
      <c r="N62" s="3"/>
    </row>
    <row r="63" spans="1:15" x14ac:dyDescent="0.3">
      <c r="A63" s="59" t="s">
        <v>81</v>
      </c>
      <c r="B63" s="60">
        <f>Vent!H20</f>
        <v>-953.71394911057928</v>
      </c>
      <c r="D63" s="61">
        <f>IF(B57=C2,D53,IF(B57=E2,F53,H53))</f>
        <v>1.5525721017788414</v>
      </c>
      <c r="E63" s="62">
        <f>IF(D63&gt;=B58,1,0)</f>
        <v>1</v>
      </c>
      <c r="F63" s="61">
        <f>IF(B57=J2,K53,IF(B57=L2,M53,O53))</f>
        <v>0</v>
      </c>
      <c r="G63" s="62">
        <f>IF(F63&gt;=B58,1,0)</f>
        <v>0</v>
      </c>
      <c r="I63" s="206" t="str">
        <f>IF($E$59*E63=1,"Possible avec 2 short rails",IF($G$59*G63=1,"Possible uniquement avec 3 short rails","Impossible d'installer PRIMA"))</f>
        <v>Possible avec 2 short rails</v>
      </c>
      <c r="J63" s="206"/>
      <c r="K63" s="206"/>
      <c r="L63" s="3">
        <f t="shared" si="9"/>
        <v>1.5525721017788414</v>
      </c>
      <c r="M63" s="3">
        <f>MIN($F$59,F63)</f>
        <v>0</v>
      </c>
      <c r="N63" s="3"/>
    </row>
    <row r="65" spans="1:3" x14ac:dyDescent="0.3">
      <c r="A65" t="s">
        <v>95</v>
      </c>
      <c r="B65" s="3">
        <f>Neige!B20</f>
        <v>0</v>
      </c>
      <c r="C65" t="s">
        <v>32</v>
      </c>
    </row>
    <row r="66" spans="1:3" x14ac:dyDescent="0.3">
      <c r="A66" t="s">
        <v>96</v>
      </c>
      <c r="B66" s="3">
        <f>Vent!J18</f>
        <v>2</v>
      </c>
      <c r="C66" t="s">
        <v>32</v>
      </c>
    </row>
    <row r="67" spans="1:3" x14ac:dyDescent="0.3">
      <c r="A67" t="s">
        <v>90</v>
      </c>
      <c r="B67">
        <f>Vent!J18</f>
        <v>2</v>
      </c>
      <c r="C67" t="s">
        <v>32</v>
      </c>
    </row>
    <row r="68" spans="1:3" x14ac:dyDescent="0.3">
      <c r="A68" t="s">
        <v>91</v>
      </c>
    </row>
  </sheetData>
  <sheetProtection algorithmName="SHA-512" hashValue="vaswJLwxJIQirRBOcbMzVl1FdGKTnCdk02FMaxhhBEppAD6W/3W2I5ntPEYHIOkrB6oKNPYoqPHdm4k69NT1Jw==" saltValue="Ej6Fn/JOUVUJj+cGYs1Uiw==" spinCount="100000" sheet="1" selectLockedCells="1" selectUnlockedCells="1"/>
  <mergeCells count="16">
    <mergeCell ref="C1:H1"/>
    <mergeCell ref="J1:O1"/>
    <mergeCell ref="C2:D2"/>
    <mergeCell ref="E2:F2"/>
    <mergeCell ref="G2:H2"/>
    <mergeCell ref="J2:K2"/>
    <mergeCell ref="L2:M2"/>
    <mergeCell ref="N2:O2"/>
    <mergeCell ref="I62:K62"/>
    <mergeCell ref="I63:K63"/>
    <mergeCell ref="B3:B19"/>
    <mergeCell ref="B26:B41"/>
    <mergeCell ref="A43:A45"/>
    <mergeCell ref="A47:A49"/>
    <mergeCell ref="A51:A53"/>
    <mergeCell ref="I61:K6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7A2B2-2480-4FC6-B50B-FC391D3DF175}">
  <sheetPr codeName="Feuil7"/>
  <dimension ref="A1:S121"/>
  <sheetViews>
    <sheetView zoomScale="85" zoomScaleNormal="85" workbookViewId="0">
      <selection activeCell="B20" sqref="B20"/>
    </sheetView>
  </sheetViews>
  <sheetFormatPr baseColWidth="10" defaultRowHeight="14.4" x14ac:dyDescent="0.3"/>
  <cols>
    <col min="8" max="8" width="11.5546875" style="79"/>
    <col min="19" max="19" width="11.5546875" style="79"/>
  </cols>
  <sheetData>
    <row r="1" spans="1:18" ht="15" thickBot="1" x14ac:dyDescent="0.35">
      <c r="A1" t="s">
        <v>130</v>
      </c>
      <c r="B1" t="s">
        <v>128</v>
      </c>
      <c r="C1" t="s">
        <v>129</v>
      </c>
      <c r="D1" t="s">
        <v>131</v>
      </c>
      <c r="E1" t="s">
        <v>134</v>
      </c>
      <c r="F1" t="s">
        <v>135</v>
      </c>
      <c r="I1" s="79" t="s">
        <v>148</v>
      </c>
      <c r="J1" s="79" t="s">
        <v>150</v>
      </c>
      <c r="K1" s="79"/>
      <c r="L1" s="79"/>
      <c r="M1" s="79"/>
      <c r="N1" s="79"/>
      <c r="O1" s="79"/>
      <c r="P1" s="79"/>
      <c r="Q1" s="79"/>
      <c r="R1" s="79"/>
    </row>
    <row r="2" spans="1:18" ht="15" thickBot="1" x14ac:dyDescent="0.35">
      <c r="A2">
        <v>6</v>
      </c>
      <c r="B2" t="s">
        <v>8</v>
      </c>
      <c r="C2" t="s">
        <v>24</v>
      </c>
      <c r="D2" t="s">
        <v>132</v>
      </c>
      <c r="E2">
        <v>2</v>
      </c>
      <c r="F2">
        <v>2</v>
      </c>
      <c r="I2" s="242" t="s">
        <v>137</v>
      </c>
      <c r="J2" s="245" t="s">
        <v>138</v>
      </c>
      <c r="K2" s="247" t="s">
        <v>139</v>
      </c>
      <c r="L2" s="248"/>
      <c r="M2" s="247" t="s">
        <v>140</v>
      </c>
      <c r="N2" s="248"/>
      <c r="O2" s="247" t="s">
        <v>141</v>
      </c>
      <c r="P2" s="248"/>
      <c r="Q2" s="247" t="s">
        <v>142</v>
      </c>
      <c r="R2" s="248"/>
    </row>
    <row r="3" spans="1:18" ht="15" thickBot="1" x14ac:dyDescent="0.35">
      <c r="A3">
        <v>6</v>
      </c>
      <c r="B3" t="s">
        <v>8</v>
      </c>
      <c r="C3" t="s">
        <v>24</v>
      </c>
      <c r="D3" t="s">
        <v>133</v>
      </c>
      <c r="E3">
        <v>1.98</v>
      </c>
      <c r="F3">
        <v>2</v>
      </c>
      <c r="I3" s="244"/>
      <c r="J3" s="246"/>
      <c r="K3" s="111" t="s">
        <v>143</v>
      </c>
      <c r="L3" s="111" t="s">
        <v>144</v>
      </c>
      <c r="M3" s="111" t="s">
        <v>143</v>
      </c>
      <c r="N3" s="111" t="s">
        <v>144</v>
      </c>
      <c r="O3" s="111" t="s">
        <v>143</v>
      </c>
      <c r="P3" s="111" t="s">
        <v>144</v>
      </c>
      <c r="Q3" s="111" t="s">
        <v>143</v>
      </c>
      <c r="R3" s="111" t="s">
        <v>144</v>
      </c>
    </row>
    <row r="4" spans="1:18" ht="15" thickBot="1" x14ac:dyDescent="0.35">
      <c r="A4">
        <v>6</v>
      </c>
      <c r="B4" t="s">
        <v>8</v>
      </c>
      <c r="C4" t="s">
        <v>24</v>
      </c>
      <c r="D4" t="s">
        <v>43</v>
      </c>
      <c r="E4">
        <v>1.6899999999999997</v>
      </c>
      <c r="F4">
        <v>1.7499999999999998</v>
      </c>
      <c r="I4" s="242">
        <v>6</v>
      </c>
      <c r="J4" s="112" t="s">
        <v>145</v>
      </c>
      <c r="K4" s="113">
        <f>E2</f>
        <v>2</v>
      </c>
      <c r="L4" s="113">
        <f>E17</f>
        <v>2</v>
      </c>
      <c r="M4" s="113">
        <f>E32</f>
        <v>2</v>
      </c>
      <c r="N4" s="113">
        <f>E47</f>
        <v>2</v>
      </c>
      <c r="O4" s="113">
        <f>E62</f>
        <v>2</v>
      </c>
      <c r="P4" s="113">
        <f>E77</f>
        <v>1.98</v>
      </c>
      <c r="Q4" s="113">
        <f>E92</f>
        <v>1.99</v>
      </c>
      <c r="R4" s="113">
        <f>E107</f>
        <v>1.96</v>
      </c>
    </row>
    <row r="5" spans="1:18" ht="15" thickBot="1" x14ac:dyDescent="0.35">
      <c r="A5">
        <v>8</v>
      </c>
      <c r="B5" t="s">
        <v>8</v>
      </c>
      <c r="C5" t="s">
        <v>24</v>
      </c>
      <c r="D5" t="s">
        <v>132</v>
      </c>
      <c r="E5">
        <v>2</v>
      </c>
      <c r="F5">
        <v>2</v>
      </c>
      <c r="I5" s="243"/>
      <c r="J5" s="112" t="s">
        <v>146</v>
      </c>
      <c r="K5" s="113">
        <f t="shared" ref="K5:K18" si="0">E3</f>
        <v>1.98</v>
      </c>
      <c r="L5" s="113">
        <f t="shared" ref="L5:L18" si="1">E18</f>
        <v>1.8499999999999999</v>
      </c>
      <c r="M5" s="113">
        <f t="shared" ref="M5:M18" si="2">E33</f>
        <v>1.95</v>
      </c>
      <c r="N5" s="113">
        <f t="shared" ref="N5:N18" si="3">E48</f>
        <v>1.6199999999999997</v>
      </c>
      <c r="O5" s="113">
        <f t="shared" ref="O5:O18" si="4">E63</f>
        <v>1.6899999999999997</v>
      </c>
      <c r="P5" s="113" t="str">
        <f t="shared" ref="P5:P18" si="5">E78</f>
        <v>-</v>
      </c>
      <c r="Q5" s="113" t="str">
        <f t="shared" ref="Q5:Q18" si="6">E93</f>
        <v>-</v>
      </c>
      <c r="R5" s="113" t="str">
        <f t="shared" ref="R5:R18" si="7">E108</f>
        <v>-</v>
      </c>
    </row>
    <row r="6" spans="1:18" ht="15" thickBot="1" x14ac:dyDescent="0.35">
      <c r="A6">
        <v>8</v>
      </c>
      <c r="B6" t="s">
        <v>8</v>
      </c>
      <c r="C6" t="s">
        <v>24</v>
      </c>
      <c r="D6" t="s">
        <v>133</v>
      </c>
      <c r="E6">
        <v>1.98</v>
      </c>
      <c r="F6">
        <v>2</v>
      </c>
      <c r="I6" s="244"/>
      <c r="J6" s="112" t="s">
        <v>147</v>
      </c>
      <c r="K6" s="113">
        <f t="shared" si="0"/>
        <v>1.6899999999999997</v>
      </c>
      <c r="L6" s="113" t="str">
        <f t="shared" si="1"/>
        <v>-</v>
      </c>
      <c r="M6" s="113" t="str">
        <f t="shared" si="2"/>
        <v>-</v>
      </c>
      <c r="N6" s="113" t="str">
        <f t="shared" si="3"/>
        <v>-</v>
      </c>
      <c r="O6" s="113" t="str">
        <f t="shared" si="4"/>
        <v>-</v>
      </c>
      <c r="P6" s="113" t="str">
        <f t="shared" si="5"/>
        <v>-</v>
      </c>
      <c r="Q6" s="113" t="str">
        <f t="shared" si="6"/>
        <v>-</v>
      </c>
      <c r="R6" s="113" t="str">
        <f t="shared" si="7"/>
        <v>-</v>
      </c>
    </row>
    <row r="7" spans="1:18" ht="15" thickBot="1" x14ac:dyDescent="0.35">
      <c r="A7">
        <v>8</v>
      </c>
      <c r="B7" t="s">
        <v>8</v>
      </c>
      <c r="C7" t="s">
        <v>24</v>
      </c>
      <c r="D7" t="s">
        <v>43</v>
      </c>
      <c r="E7">
        <v>1.5999999999999996</v>
      </c>
      <c r="F7">
        <v>1.6299999999999997</v>
      </c>
      <c r="I7" s="242">
        <v>8</v>
      </c>
      <c r="J7" s="111" t="s">
        <v>145</v>
      </c>
      <c r="K7" s="113">
        <f t="shared" si="0"/>
        <v>2</v>
      </c>
      <c r="L7" s="113">
        <f t="shared" si="1"/>
        <v>2</v>
      </c>
      <c r="M7" s="113">
        <f t="shared" si="2"/>
        <v>2</v>
      </c>
      <c r="N7" s="113">
        <f t="shared" si="3"/>
        <v>2</v>
      </c>
      <c r="O7" s="113">
        <f t="shared" si="4"/>
        <v>2</v>
      </c>
      <c r="P7" s="113">
        <f t="shared" si="5"/>
        <v>1.98</v>
      </c>
      <c r="Q7" s="113">
        <f t="shared" si="6"/>
        <v>1.98</v>
      </c>
      <c r="R7" s="113">
        <f t="shared" si="7"/>
        <v>1.95</v>
      </c>
    </row>
    <row r="8" spans="1:18" ht="15" thickBot="1" x14ac:dyDescent="0.35">
      <c r="A8">
        <v>10</v>
      </c>
      <c r="B8" t="s">
        <v>8</v>
      </c>
      <c r="C8" t="s">
        <v>24</v>
      </c>
      <c r="D8" t="s">
        <v>132</v>
      </c>
      <c r="E8">
        <v>2</v>
      </c>
      <c r="F8">
        <v>2</v>
      </c>
      <c r="I8" s="243"/>
      <c r="J8" s="112" t="s">
        <v>146</v>
      </c>
      <c r="K8" s="113">
        <f t="shared" si="0"/>
        <v>1.98</v>
      </c>
      <c r="L8" s="113">
        <f t="shared" si="1"/>
        <v>1.7799999999999998</v>
      </c>
      <c r="M8" s="113">
        <f t="shared" si="2"/>
        <v>1.93</v>
      </c>
      <c r="N8" s="113">
        <f t="shared" si="3"/>
        <v>1.5099999999999996</v>
      </c>
      <c r="O8" s="113">
        <f t="shared" si="4"/>
        <v>1.5999999999999996</v>
      </c>
      <c r="P8" s="113" t="str">
        <f t="shared" si="5"/>
        <v>-</v>
      </c>
      <c r="Q8" s="113" t="str">
        <f t="shared" si="6"/>
        <v>-</v>
      </c>
      <c r="R8" s="113" t="str">
        <f t="shared" si="7"/>
        <v>-</v>
      </c>
    </row>
    <row r="9" spans="1:18" ht="15" thickBot="1" x14ac:dyDescent="0.35">
      <c r="A9">
        <v>10</v>
      </c>
      <c r="B9" t="s">
        <v>8</v>
      </c>
      <c r="C9" t="s">
        <v>24</v>
      </c>
      <c r="D9" t="s">
        <v>133</v>
      </c>
      <c r="E9">
        <v>1.97</v>
      </c>
      <c r="F9">
        <v>2</v>
      </c>
      <c r="I9" s="244"/>
      <c r="J9" s="112" t="s">
        <v>147</v>
      </c>
      <c r="K9" s="113">
        <f t="shared" si="0"/>
        <v>1.5999999999999996</v>
      </c>
      <c r="L9" s="113" t="str">
        <f t="shared" si="1"/>
        <v>-</v>
      </c>
      <c r="M9" s="113" t="str">
        <f t="shared" si="2"/>
        <v>-</v>
      </c>
      <c r="N9" s="113" t="str">
        <f t="shared" si="3"/>
        <v>-</v>
      </c>
      <c r="O9" s="113" t="str">
        <f t="shared" si="4"/>
        <v>-</v>
      </c>
      <c r="P9" s="113" t="str">
        <f t="shared" si="5"/>
        <v>-</v>
      </c>
      <c r="Q9" s="113" t="str">
        <f t="shared" si="6"/>
        <v>-</v>
      </c>
      <c r="R9" s="113" t="str">
        <f t="shared" si="7"/>
        <v>-</v>
      </c>
    </row>
    <row r="10" spans="1:18" ht="15" thickBot="1" x14ac:dyDescent="0.35">
      <c r="A10">
        <v>10</v>
      </c>
      <c r="B10" t="s">
        <v>8</v>
      </c>
      <c r="C10" t="s">
        <v>24</v>
      </c>
      <c r="D10" t="s">
        <v>43</v>
      </c>
      <c r="E10">
        <v>1.4999999999999996</v>
      </c>
      <c r="F10">
        <v>1.5299999999999996</v>
      </c>
      <c r="I10" s="242">
        <v>10</v>
      </c>
      <c r="J10" s="112" t="s">
        <v>145</v>
      </c>
      <c r="K10" s="113">
        <f t="shared" si="0"/>
        <v>2</v>
      </c>
      <c r="L10" s="113">
        <f t="shared" si="1"/>
        <v>2</v>
      </c>
      <c r="M10" s="113">
        <f t="shared" si="2"/>
        <v>2</v>
      </c>
      <c r="N10" s="113">
        <f t="shared" si="3"/>
        <v>2</v>
      </c>
      <c r="O10" s="113">
        <f t="shared" si="4"/>
        <v>2</v>
      </c>
      <c r="P10" s="113">
        <f t="shared" si="5"/>
        <v>1.97</v>
      </c>
      <c r="Q10" s="113">
        <f t="shared" si="6"/>
        <v>1.97</v>
      </c>
      <c r="R10" s="113">
        <f t="shared" si="7"/>
        <v>1.92</v>
      </c>
    </row>
    <row r="11" spans="1:18" ht="15" thickBot="1" x14ac:dyDescent="0.35">
      <c r="A11">
        <v>15</v>
      </c>
      <c r="B11" t="s">
        <v>8</v>
      </c>
      <c r="C11" t="s">
        <v>24</v>
      </c>
      <c r="D11" t="s">
        <v>132</v>
      </c>
      <c r="E11">
        <v>2</v>
      </c>
      <c r="F11">
        <v>2</v>
      </c>
      <c r="I11" s="243"/>
      <c r="J11" s="112" t="s">
        <v>146</v>
      </c>
      <c r="K11" s="113">
        <f t="shared" si="0"/>
        <v>1.97</v>
      </c>
      <c r="L11" s="113">
        <f t="shared" si="1"/>
        <v>1.6999999999999997</v>
      </c>
      <c r="M11" s="113">
        <f t="shared" si="2"/>
        <v>1.88</v>
      </c>
      <c r="N11" s="113">
        <f t="shared" si="3"/>
        <v>1.4099999999999995</v>
      </c>
      <c r="O11" s="113">
        <f t="shared" si="4"/>
        <v>1.4999999999999996</v>
      </c>
      <c r="P11" s="113" t="str">
        <f t="shared" si="5"/>
        <v>-</v>
      </c>
      <c r="Q11" s="113" t="str">
        <f t="shared" si="6"/>
        <v>-</v>
      </c>
      <c r="R11" s="113" t="str">
        <f t="shared" si="7"/>
        <v>-</v>
      </c>
    </row>
    <row r="12" spans="1:18" ht="15" thickBot="1" x14ac:dyDescent="0.35">
      <c r="A12">
        <v>15</v>
      </c>
      <c r="B12" t="s">
        <v>8</v>
      </c>
      <c r="C12" t="s">
        <v>24</v>
      </c>
      <c r="D12" t="s">
        <v>133</v>
      </c>
      <c r="E12">
        <v>1.95</v>
      </c>
      <c r="F12">
        <v>2</v>
      </c>
      <c r="I12" s="244"/>
      <c r="J12" s="112" t="s">
        <v>147</v>
      </c>
      <c r="K12" s="113">
        <f t="shared" si="0"/>
        <v>1.4999999999999996</v>
      </c>
      <c r="L12" s="113" t="str">
        <f t="shared" si="1"/>
        <v>-</v>
      </c>
      <c r="M12" s="113" t="str">
        <f t="shared" si="2"/>
        <v>-</v>
      </c>
      <c r="N12" s="113" t="str">
        <f t="shared" si="3"/>
        <v>-</v>
      </c>
      <c r="O12" s="113" t="str">
        <f t="shared" si="4"/>
        <v>-</v>
      </c>
      <c r="P12" s="113" t="str">
        <f t="shared" si="5"/>
        <v>-</v>
      </c>
      <c r="Q12" s="113" t="str">
        <f t="shared" si="6"/>
        <v>-</v>
      </c>
      <c r="R12" s="113" t="str">
        <f t="shared" si="7"/>
        <v>-</v>
      </c>
    </row>
    <row r="13" spans="1:18" ht="15" thickBot="1" x14ac:dyDescent="0.35">
      <c r="A13">
        <v>15</v>
      </c>
      <c r="B13" t="s">
        <v>8</v>
      </c>
      <c r="C13" t="s">
        <v>24</v>
      </c>
      <c r="D13" t="s">
        <v>43</v>
      </c>
      <c r="E13" t="s">
        <v>136</v>
      </c>
      <c r="F13" t="s">
        <v>136</v>
      </c>
      <c r="I13" s="242">
        <v>15</v>
      </c>
      <c r="J13" s="112" t="s">
        <v>145</v>
      </c>
      <c r="K13" s="113">
        <f t="shared" si="0"/>
        <v>2</v>
      </c>
      <c r="L13" s="113">
        <f t="shared" si="1"/>
        <v>2</v>
      </c>
      <c r="M13" s="113">
        <f t="shared" si="2"/>
        <v>2</v>
      </c>
      <c r="N13" s="113">
        <f t="shared" si="3"/>
        <v>1.98</v>
      </c>
      <c r="O13" s="113">
        <f t="shared" si="4"/>
        <v>1.99</v>
      </c>
      <c r="P13" s="113">
        <f t="shared" si="5"/>
        <v>1.95</v>
      </c>
      <c r="Q13" s="113">
        <f t="shared" si="6"/>
        <v>1.96</v>
      </c>
      <c r="R13" s="113">
        <f t="shared" si="7"/>
        <v>1.7999999999999998</v>
      </c>
    </row>
    <row r="14" spans="1:18" ht="15" thickBot="1" x14ac:dyDescent="0.35">
      <c r="A14">
        <v>20</v>
      </c>
      <c r="B14" t="s">
        <v>8</v>
      </c>
      <c r="C14" t="s">
        <v>24</v>
      </c>
      <c r="D14" t="s">
        <v>132</v>
      </c>
      <c r="E14">
        <v>2</v>
      </c>
      <c r="F14">
        <v>2</v>
      </c>
      <c r="I14" s="243"/>
      <c r="J14" s="112" t="s">
        <v>146</v>
      </c>
      <c r="K14" s="113">
        <f t="shared" si="0"/>
        <v>1.95</v>
      </c>
      <c r="L14" s="113">
        <f t="shared" si="1"/>
        <v>1.5199999999999996</v>
      </c>
      <c r="M14" s="113">
        <f t="shared" si="2"/>
        <v>1.7399999999999998</v>
      </c>
      <c r="N14" s="113" t="str">
        <f t="shared" si="3"/>
        <v>-</v>
      </c>
      <c r="O14" s="113" t="str">
        <f t="shared" si="4"/>
        <v>-</v>
      </c>
      <c r="P14" s="113" t="str">
        <f t="shared" si="5"/>
        <v>-</v>
      </c>
      <c r="Q14" s="113" t="str">
        <f t="shared" si="6"/>
        <v>-</v>
      </c>
      <c r="R14" s="113" t="str">
        <f t="shared" si="7"/>
        <v>-</v>
      </c>
    </row>
    <row r="15" spans="1:18" ht="15" thickBot="1" x14ac:dyDescent="0.35">
      <c r="A15">
        <v>20</v>
      </c>
      <c r="B15" t="s">
        <v>8</v>
      </c>
      <c r="C15" t="s">
        <v>24</v>
      </c>
      <c r="D15" t="s">
        <v>133</v>
      </c>
      <c r="E15">
        <v>1.89</v>
      </c>
      <c r="F15">
        <v>1.95</v>
      </c>
      <c r="I15" s="244"/>
      <c r="J15" s="112" t="s">
        <v>147</v>
      </c>
      <c r="K15" s="113" t="str">
        <f t="shared" si="0"/>
        <v>-</v>
      </c>
      <c r="L15" s="113" t="str">
        <f t="shared" si="1"/>
        <v>-</v>
      </c>
      <c r="M15" s="113" t="str">
        <f t="shared" si="2"/>
        <v>-</v>
      </c>
      <c r="N15" s="113" t="str">
        <f t="shared" si="3"/>
        <v>-</v>
      </c>
      <c r="O15" s="113" t="str">
        <f t="shared" si="4"/>
        <v>-</v>
      </c>
      <c r="P15" s="113" t="str">
        <f t="shared" si="5"/>
        <v>-</v>
      </c>
      <c r="Q15" s="113" t="str">
        <f t="shared" si="6"/>
        <v>-</v>
      </c>
      <c r="R15" s="113" t="str">
        <f t="shared" si="7"/>
        <v>-</v>
      </c>
    </row>
    <row r="16" spans="1:18" ht="15" thickBot="1" x14ac:dyDescent="0.35">
      <c r="A16">
        <v>20</v>
      </c>
      <c r="B16" t="s">
        <v>8</v>
      </c>
      <c r="C16" t="s">
        <v>24</v>
      </c>
      <c r="D16" t="s">
        <v>43</v>
      </c>
      <c r="E16" t="s">
        <v>136</v>
      </c>
      <c r="F16" t="s">
        <v>136</v>
      </c>
      <c r="I16" s="242">
        <v>20</v>
      </c>
      <c r="J16" s="112" t="s">
        <v>145</v>
      </c>
      <c r="K16" s="113">
        <f t="shared" si="0"/>
        <v>2</v>
      </c>
      <c r="L16" s="113">
        <f t="shared" si="1"/>
        <v>1.99</v>
      </c>
      <c r="M16" s="113">
        <f t="shared" si="2"/>
        <v>2</v>
      </c>
      <c r="N16" s="113">
        <f t="shared" si="3"/>
        <v>1.97</v>
      </c>
      <c r="O16" s="113">
        <f t="shared" si="4"/>
        <v>1.98</v>
      </c>
      <c r="P16" s="113">
        <f t="shared" si="5"/>
        <v>1.88</v>
      </c>
      <c r="Q16" s="113">
        <f t="shared" si="6"/>
        <v>1.93</v>
      </c>
      <c r="R16" s="113">
        <f t="shared" si="7"/>
        <v>1.6699999999999997</v>
      </c>
    </row>
    <row r="17" spans="1:18" ht="15" thickBot="1" x14ac:dyDescent="0.35">
      <c r="A17">
        <v>6</v>
      </c>
      <c r="B17" t="s">
        <v>8</v>
      </c>
      <c r="C17" t="s">
        <v>25</v>
      </c>
      <c r="D17" t="s">
        <v>132</v>
      </c>
      <c r="E17">
        <v>2</v>
      </c>
      <c r="F17">
        <v>2</v>
      </c>
      <c r="I17" s="243"/>
      <c r="J17" s="112" t="s">
        <v>146</v>
      </c>
      <c r="K17" s="113">
        <f t="shared" si="0"/>
        <v>1.89</v>
      </c>
      <c r="L17" s="113" t="str">
        <f t="shared" si="1"/>
        <v>-</v>
      </c>
      <c r="M17" s="113">
        <f t="shared" si="2"/>
        <v>1.6099999999999997</v>
      </c>
      <c r="N17" s="113" t="str">
        <f t="shared" si="3"/>
        <v>-</v>
      </c>
      <c r="O17" s="113" t="str">
        <f t="shared" si="4"/>
        <v>-</v>
      </c>
      <c r="P17" s="113" t="str">
        <f t="shared" si="5"/>
        <v>-</v>
      </c>
      <c r="Q17" s="113" t="str">
        <f t="shared" si="6"/>
        <v>-</v>
      </c>
      <c r="R17" s="113" t="str">
        <f t="shared" si="7"/>
        <v>-</v>
      </c>
    </row>
    <row r="18" spans="1:18" ht="15" thickBot="1" x14ac:dyDescent="0.35">
      <c r="A18">
        <v>6</v>
      </c>
      <c r="B18" t="s">
        <v>8</v>
      </c>
      <c r="C18" t="s">
        <v>25</v>
      </c>
      <c r="D18" t="s">
        <v>133</v>
      </c>
      <c r="E18">
        <v>1.8499999999999999</v>
      </c>
      <c r="F18">
        <v>1.92</v>
      </c>
      <c r="I18" s="244"/>
      <c r="J18" s="112" t="s">
        <v>147</v>
      </c>
      <c r="K18" s="113" t="str">
        <f t="shared" si="0"/>
        <v>-</v>
      </c>
      <c r="L18" s="113" t="str">
        <f t="shared" si="1"/>
        <v>-</v>
      </c>
      <c r="M18" s="113" t="str">
        <f t="shared" si="2"/>
        <v>-</v>
      </c>
      <c r="N18" s="113" t="str">
        <f t="shared" si="3"/>
        <v>-</v>
      </c>
      <c r="O18" s="113" t="str">
        <f t="shared" si="4"/>
        <v>-</v>
      </c>
      <c r="P18" s="113" t="str">
        <f t="shared" si="5"/>
        <v>-</v>
      </c>
      <c r="Q18" s="113" t="str">
        <f t="shared" si="6"/>
        <v>-</v>
      </c>
      <c r="R18" s="113" t="str">
        <f t="shared" si="7"/>
        <v>-</v>
      </c>
    </row>
    <row r="19" spans="1:18" x14ac:dyDescent="0.3">
      <c r="A19">
        <v>6</v>
      </c>
      <c r="B19" t="s">
        <v>8</v>
      </c>
      <c r="C19" t="s">
        <v>25</v>
      </c>
      <c r="D19" t="s">
        <v>43</v>
      </c>
      <c r="E19" t="s">
        <v>136</v>
      </c>
      <c r="F19" t="s">
        <v>136</v>
      </c>
      <c r="I19" s="79"/>
      <c r="J19" s="79"/>
      <c r="K19" s="79"/>
      <c r="L19" s="79"/>
      <c r="M19" s="79"/>
      <c r="N19" s="79"/>
      <c r="O19" s="79"/>
      <c r="P19" s="79"/>
      <c r="Q19" s="79"/>
      <c r="R19" s="79"/>
    </row>
    <row r="20" spans="1:18" ht="15" thickBot="1" x14ac:dyDescent="0.35">
      <c r="A20">
        <v>8</v>
      </c>
      <c r="B20" t="s">
        <v>8</v>
      </c>
      <c r="C20" t="s">
        <v>25</v>
      </c>
      <c r="D20" t="s">
        <v>132</v>
      </c>
      <c r="E20">
        <v>2</v>
      </c>
      <c r="F20">
        <v>2</v>
      </c>
      <c r="I20" s="79" t="s">
        <v>149</v>
      </c>
      <c r="J20" s="79" t="s">
        <v>150</v>
      </c>
      <c r="K20" s="79"/>
      <c r="L20" s="79"/>
      <c r="M20" s="79"/>
      <c r="N20" s="79"/>
      <c r="O20" s="79"/>
      <c r="P20" s="79"/>
      <c r="Q20" s="79"/>
      <c r="R20" s="79"/>
    </row>
    <row r="21" spans="1:18" ht="15" thickBot="1" x14ac:dyDescent="0.35">
      <c r="A21">
        <v>8</v>
      </c>
      <c r="B21" t="s">
        <v>8</v>
      </c>
      <c r="C21" t="s">
        <v>25</v>
      </c>
      <c r="D21" t="s">
        <v>133</v>
      </c>
      <c r="E21">
        <v>1.7799999999999998</v>
      </c>
      <c r="F21">
        <v>1.8699999999999999</v>
      </c>
      <c r="I21" s="242" t="s">
        <v>137</v>
      </c>
      <c r="J21" s="245" t="s">
        <v>138</v>
      </c>
      <c r="K21" s="247" t="s">
        <v>139</v>
      </c>
      <c r="L21" s="248"/>
      <c r="M21" s="247" t="s">
        <v>140</v>
      </c>
      <c r="N21" s="248"/>
      <c r="O21" s="247" t="s">
        <v>141</v>
      </c>
      <c r="P21" s="248"/>
      <c r="Q21" s="247" t="s">
        <v>142</v>
      </c>
      <c r="R21" s="248"/>
    </row>
    <row r="22" spans="1:18" ht="15" thickBot="1" x14ac:dyDescent="0.35">
      <c r="A22">
        <v>8</v>
      </c>
      <c r="B22" t="s">
        <v>8</v>
      </c>
      <c r="C22" t="s">
        <v>25</v>
      </c>
      <c r="D22" t="s">
        <v>43</v>
      </c>
      <c r="E22" t="s">
        <v>136</v>
      </c>
      <c r="F22" t="s">
        <v>136</v>
      </c>
      <c r="I22" s="244"/>
      <c r="J22" s="246"/>
      <c r="K22" s="111" t="s">
        <v>143</v>
      </c>
      <c r="L22" s="111" t="s">
        <v>144</v>
      </c>
      <c r="M22" s="111" t="s">
        <v>143</v>
      </c>
      <c r="N22" s="111" t="s">
        <v>144</v>
      </c>
      <c r="O22" s="111" t="s">
        <v>143</v>
      </c>
      <c r="P22" s="111" t="s">
        <v>144</v>
      </c>
      <c r="Q22" s="111" t="s">
        <v>143</v>
      </c>
      <c r="R22" s="111" t="s">
        <v>144</v>
      </c>
    </row>
    <row r="23" spans="1:18" ht="15" thickBot="1" x14ac:dyDescent="0.35">
      <c r="A23">
        <v>10</v>
      </c>
      <c r="B23" t="s">
        <v>8</v>
      </c>
      <c r="C23" t="s">
        <v>25</v>
      </c>
      <c r="D23" t="s">
        <v>132</v>
      </c>
      <c r="E23">
        <v>2</v>
      </c>
      <c r="F23">
        <v>2</v>
      </c>
      <c r="I23" s="242">
        <v>6</v>
      </c>
      <c r="J23" s="112" t="s">
        <v>145</v>
      </c>
      <c r="K23" s="113">
        <f>F2</f>
        <v>2</v>
      </c>
      <c r="L23" s="113">
        <f>F17</f>
        <v>2</v>
      </c>
      <c r="M23" s="113">
        <f>F32</f>
        <v>2</v>
      </c>
      <c r="N23" s="113">
        <f>F47</f>
        <v>2</v>
      </c>
      <c r="O23" s="113">
        <f>F62</f>
        <v>2</v>
      </c>
      <c r="P23" s="113">
        <f>F77</f>
        <v>2</v>
      </c>
      <c r="Q23" s="113">
        <f>F92</f>
        <v>2</v>
      </c>
      <c r="R23" s="113">
        <f>F107</f>
        <v>2</v>
      </c>
    </row>
    <row r="24" spans="1:18" ht="15" thickBot="1" x14ac:dyDescent="0.35">
      <c r="A24">
        <v>10</v>
      </c>
      <c r="B24" t="s">
        <v>8</v>
      </c>
      <c r="C24" t="s">
        <v>25</v>
      </c>
      <c r="D24" t="s">
        <v>133</v>
      </c>
      <c r="E24">
        <v>1.6999999999999997</v>
      </c>
      <c r="F24">
        <v>1.7699999999999998</v>
      </c>
      <c r="I24" s="243"/>
      <c r="J24" s="112" t="s">
        <v>146</v>
      </c>
      <c r="K24" s="113">
        <f t="shared" ref="K24:K37" si="8">F3</f>
        <v>2</v>
      </c>
      <c r="L24" s="113">
        <f t="shared" ref="L24:L37" si="9">F18</f>
        <v>1.92</v>
      </c>
      <c r="M24" s="113">
        <f t="shared" ref="M24:M37" si="10">F33</f>
        <v>2</v>
      </c>
      <c r="N24" s="113">
        <f t="shared" ref="N24:N37" si="11">F48</f>
        <v>1.6599999999999997</v>
      </c>
      <c r="O24" s="113">
        <f t="shared" ref="O24:O37" si="12">F63</f>
        <v>1.7499999999999998</v>
      </c>
      <c r="P24" s="113" t="str">
        <f t="shared" ref="P24:P37" si="13">F78</f>
        <v>-</v>
      </c>
      <c r="Q24" s="113" t="str">
        <f t="shared" ref="Q24:Q37" si="14">F93</f>
        <v>-</v>
      </c>
      <c r="R24" s="113" t="str">
        <f t="shared" ref="R24:R37" si="15">F108</f>
        <v>-</v>
      </c>
    </row>
    <row r="25" spans="1:18" ht="15" thickBot="1" x14ac:dyDescent="0.35">
      <c r="A25">
        <v>10</v>
      </c>
      <c r="B25" t="s">
        <v>8</v>
      </c>
      <c r="C25" t="s">
        <v>25</v>
      </c>
      <c r="D25" t="s">
        <v>43</v>
      </c>
      <c r="E25" t="s">
        <v>136</v>
      </c>
      <c r="F25" t="s">
        <v>136</v>
      </c>
      <c r="I25" s="244"/>
      <c r="J25" s="112" t="s">
        <v>147</v>
      </c>
      <c r="K25" s="113">
        <f t="shared" si="8"/>
        <v>1.7499999999999998</v>
      </c>
      <c r="L25" s="113" t="str">
        <f t="shared" si="9"/>
        <v>-</v>
      </c>
      <c r="M25" s="113" t="str">
        <f t="shared" si="10"/>
        <v>-</v>
      </c>
      <c r="N25" s="113" t="str">
        <f t="shared" si="11"/>
        <v>-</v>
      </c>
      <c r="O25" s="113" t="str">
        <f t="shared" si="12"/>
        <v>-</v>
      </c>
      <c r="P25" s="113" t="str">
        <f t="shared" si="13"/>
        <v>-</v>
      </c>
      <c r="Q25" s="113" t="str">
        <f t="shared" si="14"/>
        <v>-</v>
      </c>
      <c r="R25" s="113" t="str">
        <f t="shared" si="15"/>
        <v>-</v>
      </c>
    </row>
    <row r="26" spans="1:18" ht="15" thickBot="1" x14ac:dyDescent="0.35">
      <c r="A26">
        <v>15</v>
      </c>
      <c r="B26" t="s">
        <v>8</v>
      </c>
      <c r="C26" t="s">
        <v>25</v>
      </c>
      <c r="D26" t="s">
        <v>132</v>
      </c>
      <c r="E26">
        <v>2</v>
      </c>
      <c r="F26">
        <v>2</v>
      </c>
      <c r="I26" s="242">
        <v>8</v>
      </c>
      <c r="J26" s="111" t="s">
        <v>145</v>
      </c>
      <c r="K26" s="113">
        <f t="shared" si="8"/>
        <v>2</v>
      </c>
      <c r="L26" s="113">
        <f t="shared" si="9"/>
        <v>2</v>
      </c>
      <c r="M26" s="113">
        <f t="shared" si="10"/>
        <v>2</v>
      </c>
      <c r="N26" s="113">
        <f t="shared" si="11"/>
        <v>2</v>
      </c>
      <c r="O26" s="113">
        <f t="shared" si="12"/>
        <v>2</v>
      </c>
      <c r="P26" s="113">
        <f t="shared" si="13"/>
        <v>2</v>
      </c>
      <c r="Q26" s="113">
        <f t="shared" si="14"/>
        <v>2</v>
      </c>
      <c r="R26" s="113">
        <f t="shared" si="15"/>
        <v>2</v>
      </c>
    </row>
    <row r="27" spans="1:18" ht="15" thickBot="1" x14ac:dyDescent="0.35">
      <c r="A27">
        <v>15</v>
      </c>
      <c r="B27" t="s">
        <v>8</v>
      </c>
      <c r="C27" t="s">
        <v>25</v>
      </c>
      <c r="D27" t="s">
        <v>133</v>
      </c>
      <c r="E27">
        <v>1.5199999999999996</v>
      </c>
      <c r="F27">
        <v>1.5499999999999996</v>
      </c>
      <c r="I27" s="243"/>
      <c r="J27" s="112" t="s">
        <v>146</v>
      </c>
      <c r="K27" s="113">
        <f t="shared" si="8"/>
        <v>2</v>
      </c>
      <c r="L27" s="113">
        <f t="shared" si="9"/>
        <v>1.8699999999999999</v>
      </c>
      <c r="M27" s="113">
        <f t="shared" si="10"/>
        <v>1.99</v>
      </c>
      <c r="N27" s="113">
        <f t="shared" si="11"/>
        <v>1.5399999999999996</v>
      </c>
      <c r="O27" s="113">
        <f t="shared" si="12"/>
        <v>1.6299999999999997</v>
      </c>
      <c r="P27" s="113" t="str">
        <f t="shared" si="13"/>
        <v>-</v>
      </c>
      <c r="Q27" s="113" t="str">
        <f t="shared" si="14"/>
        <v>-</v>
      </c>
      <c r="R27" s="113" t="str">
        <f t="shared" si="15"/>
        <v>-</v>
      </c>
    </row>
    <row r="28" spans="1:18" ht="15" thickBot="1" x14ac:dyDescent="0.35">
      <c r="A28">
        <v>15</v>
      </c>
      <c r="B28" t="s">
        <v>8</v>
      </c>
      <c r="C28" t="s">
        <v>25</v>
      </c>
      <c r="D28" t="s">
        <v>43</v>
      </c>
      <c r="E28" t="s">
        <v>136</v>
      </c>
      <c r="F28" t="s">
        <v>136</v>
      </c>
      <c r="I28" s="244"/>
      <c r="J28" s="112" t="s">
        <v>147</v>
      </c>
      <c r="K28" s="113">
        <f t="shared" si="8"/>
        <v>1.6299999999999997</v>
      </c>
      <c r="L28" s="113" t="str">
        <f t="shared" si="9"/>
        <v>-</v>
      </c>
      <c r="M28" s="113" t="str">
        <f t="shared" si="10"/>
        <v>-</v>
      </c>
      <c r="N28" s="113" t="str">
        <f t="shared" si="11"/>
        <v>-</v>
      </c>
      <c r="O28" s="113" t="str">
        <f t="shared" si="12"/>
        <v>-</v>
      </c>
      <c r="P28" s="113" t="str">
        <f t="shared" si="13"/>
        <v>-</v>
      </c>
      <c r="Q28" s="113" t="str">
        <f t="shared" si="14"/>
        <v>-</v>
      </c>
      <c r="R28" s="113" t="str">
        <f t="shared" si="15"/>
        <v>-</v>
      </c>
    </row>
    <row r="29" spans="1:18" ht="15" thickBot="1" x14ac:dyDescent="0.35">
      <c r="A29">
        <v>20</v>
      </c>
      <c r="B29" t="s">
        <v>8</v>
      </c>
      <c r="C29" t="s">
        <v>25</v>
      </c>
      <c r="D29" t="s">
        <v>132</v>
      </c>
      <c r="E29">
        <v>1.99</v>
      </c>
      <c r="F29">
        <v>2</v>
      </c>
      <c r="I29" s="242">
        <v>10</v>
      </c>
      <c r="J29" s="112" t="s">
        <v>145</v>
      </c>
      <c r="K29" s="113">
        <f t="shared" si="8"/>
        <v>2</v>
      </c>
      <c r="L29" s="113">
        <f t="shared" si="9"/>
        <v>2</v>
      </c>
      <c r="M29" s="113">
        <f t="shared" si="10"/>
        <v>2</v>
      </c>
      <c r="N29" s="113">
        <f t="shared" si="11"/>
        <v>2</v>
      </c>
      <c r="O29" s="113">
        <f t="shared" si="12"/>
        <v>2</v>
      </c>
      <c r="P29" s="113">
        <f t="shared" si="13"/>
        <v>2</v>
      </c>
      <c r="Q29" s="113">
        <f t="shared" si="14"/>
        <v>2</v>
      </c>
      <c r="R29" s="113">
        <f t="shared" si="15"/>
        <v>1.98</v>
      </c>
    </row>
    <row r="30" spans="1:18" ht="15" thickBot="1" x14ac:dyDescent="0.35">
      <c r="A30">
        <v>20</v>
      </c>
      <c r="B30" t="s">
        <v>8</v>
      </c>
      <c r="C30" t="s">
        <v>25</v>
      </c>
      <c r="D30" t="s">
        <v>133</v>
      </c>
      <c r="E30" t="s">
        <v>136</v>
      </c>
      <c r="F30" t="s">
        <v>136</v>
      </c>
      <c r="I30" s="243"/>
      <c r="J30" s="112" t="s">
        <v>146</v>
      </c>
      <c r="K30" s="113">
        <f t="shared" si="8"/>
        <v>2</v>
      </c>
      <c r="L30" s="113">
        <f t="shared" si="9"/>
        <v>1.7699999999999998</v>
      </c>
      <c r="M30" s="113">
        <f t="shared" si="10"/>
        <v>1.95</v>
      </c>
      <c r="N30" s="113">
        <f t="shared" si="11"/>
        <v>1.4299999999999995</v>
      </c>
      <c r="O30" s="113">
        <f t="shared" si="12"/>
        <v>1.5299999999999996</v>
      </c>
      <c r="P30" s="113" t="str">
        <f t="shared" si="13"/>
        <v>-</v>
      </c>
      <c r="Q30" s="113" t="str">
        <f t="shared" si="14"/>
        <v>-</v>
      </c>
      <c r="R30" s="113" t="str">
        <f t="shared" si="15"/>
        <v>-</v>
      </c>
    </row>
    <row r="31" spans="1:18" ht="15" thickBot="1" x14ac:dyDescent="0.35">
      <c r="A31">
        <v>20</v>
      </c>
      <c r="B31" t="s">
        <v>8</v>
      </c>
      <c r="C31" t="s">
        <v>25</v>
      </c>
      <c r="D31" t="s">
        <v>43</v>
      </c>
      <c r="E31" t="s">
        <v>136</v>
      </c>
      <c r="F31" t="s">
        <v>136</v>
      </c>
      <c r="I31" s="244"/>
      <c r="J31" s="112" t="s">
        <v>147</v>
      </c>
      <c r="K31" s="113">
        <f t="shared" si="8"/>
        <v>1.5299999999999996</v>
      </c>
      <c r="L31" s="113" t="str">
        <f t="shared" si="9"/>
        <v>-</v>
      </c>
      <c r="M31" s="113" t="str">
        <f t="shared" si="10"/>
        <v>-</v>
      </c>
      <c r="N31" s="113" t="str">
        <f t="shared" si="11"/>
        <v>-</v>
      </c>
      <c r="O31" s="113" t="str">
        <f t="shared" si="12"/>
        <v>-</v>
      </c>
      <c r="P31" s="113" t="str">
        <f t="shared" si="13"/>
        <v>-</v>
      </c>
      <c r="Q31" s="113" t="str">
        <f t="shared" si="14"/>
        <v>-</v>
      </c>
      <c r="R31" s="113" t="str">
        <f t="shared" si="15"/>
        <v>-</v>
      </c>
    </row>
    <row r="32" spans="1:18" ht="15" thickBot="1" x14ac:dyDescent="0.35">
      <c r="A32">
        <v>6</v>
      </c>
      <c r="B32" t="s">
        <v>9</v>
      </c>
      <c r="C32" t="s">
        <v>24</v>
      </c>
      <c r="D32" t="s">
        <v>132</v>
      </c>
      <c r="E32">
        <v>2</v>
      </c>
      <c r="F32">
        <v>2</v>
      </c>
      <c r="I32" s="242">
        <v>15</v>
      </c>
      <c r="J32" s="112" t="s">
        <v>145</v>
      </c>
      <c r="K32" s="113">
        <f t="shared" si="8"/>
        <v>2</v>
      </c>
      <c r="L32" s="113">
        <f t="shared" si="9"/>
        <v>2</v>
      </c>
      <c r="M32" s="113">
        <f t="shared" si="10"/>
        <v>2</v>
      </c>
      <c r="N32" s="113">
        <f t="shared" si="11"/>
        <v>2</v>
      </c>
      <c r="O32" s="113">
        <f t="shared" si="12"/>
        <v>2</v>
      </c>
      <c r="P32" s="113">
        <f t="shared" si="13"/>
        <v>2</v>
      </c>
      <c r="Q32" s="113">
        <f t="shared" si="14"/>
        <v>2</v>
      </c>
      <c r="R32" s="113">
        <f t="shared" si="15"/>
        <v>1.89</v>
      </c>
    </row>
    <row r="33" spans="1:18" ht="15" thickBot="1" x14ac:dyDescent="0.35">
      <c r="A33">
        <v>6</v>
      </c>
      <c r="B33" t="s">
        <v>9</v>
      </c>
      <c r="C33" t="s">
        <v>24</v>
      </c>
      <c r="D33" t="s">
        <v>133</v>
      </c>
      <c r="E33">
        <v>1.95</v>
      </c>
      <c r="F33">
        <v>2</v>
      </c>
      <c r="I33" s="243"/>
      <c r="J33" s="112" t="s">
        <v>146</v>
      </c>
      <c r="K33" s="113">
        <f t="shared" si="8"/>
        <v>2</v>
      </c>
      <c r="L33" s="113">
        <f t="shared" si="9"/>
        <v>1.5499999999999996</v>
      </c>
      <c r="M33" s="113">
        <f t="shared" si="10"/>
        <v>1.8199999999999998</v>
      </c>
      <c r="N33" s="113" t="str">
        <f t="shared" si="11"/>
        <v>-</v>
      </c>
      <c r="O33" s="113" t="str">
        <f t="shared" si="12"/>
        <v>-</v>
      </c>
      <c r="P33" s="113" t="str">
        <f t="shared" si="13"/>
        <v>-</v>
      </c>
      <c r="Q33" s="113" t="str">
        <f t="shared" si="14"/>
        <v>-</v>
      </c>
      <c r="R33" s="113" t="str">
        <f t="shared" si="15"/>
        <v>-</v>
      </c>
    </row>
    <row r="34" spans="1:18" ht="15" thickBot="1" x14ac:dyDescent="0.35">
      <c r="A34">
        <v>6</v>
      </c>
      <c r="B34" t="s">
        <v>9</v>
      </c>
      <c r="C34" t="s">
        <v>24</v>
      </c>
      <c r="D34" t="s">
        <v>43</v>
      </c>
      <c r="E34" t="s">
        <v>136</v>
      </c>
      <c r="F34" t="s">
        <v>136</v>
      </c>
      <c r="I34" s="244"/>
      <c r="J34" s="112" t="s">
        <v>147</v>
      </c>
      <c r="K34" s="113" t="str">
        <f t="shared" si="8"/>
        <v>-</v>
      </c>
      <c r="L34" s="113" t="str">
        <f t="shared" si="9"/>
        <v>-</v>
      </c>
      <c r="M34" s="113" t="str">
        <f t="shared" si="10"/>
        <v>-</v>
      </c>
      <c r="N34" s="113" t="str">
        <f t="shared" si="11"/>
        <v>-</v>
      </c>
      <c r="O34" s="113" t="str">
        <f t="shared" si="12"/>
        <v>-</v>
      </c>
      <c r="P34" s="113" t="str">
        <f t="shared" si="13"/>
        <v>-</v>
      </c>
      <c r="Q34" s="113" t="str">
        <f t="shared" si="14"/>
        <v>-</v>
      </c>
      <c r="R34" s="113" t="str">
        <f t="shared" si="15"/>
        <v>-</v>
      </c>
    </row>
    <row r="35" spans="1:18" ht="15" thickBot="1" x14ac:dyDescent="0.35">
      <c r="A35">
        <v>8</v>
      </c>
      <c r="B35" t="s">
        <v>9</v>
      </c>
      <c r="C35" t="s">
        <v>24</v>
      </c>
      <c r="D35" t="s">
        <v>132</v>
      </c>
      <c r="E35">
        <v>2</v>
      </c>
      <c r="F35">
        <v>2</v>
      </c>
      <c r="I35" s="242">
        <v>20</v>
      </c>
      <c r="J35" s="112" t="s">
        <v>145</v>
      </c>
      <c r="K35" s="113">
        <f t="shared" si="8"/>
        <v>2</v>
      </c>
      <c r="L35" s="113">
        <f t="shared" si="9"/>
        <v>2</v>
      </c>
      <c r="M35" s="113">
        <f t="shared" si="10"/>
        <v>2</v>
      </c>
      <c r="N35" s="113">
        <f t="shared" si="11"/>
        <v>2</v>
      </c>
      <c r="O35" s="113">
        <f t="shared" si="12"/>
        <v>2</v>
      </c>
      <c r="P35" s="113">
        <f t="shared" si="13"/>
        <v>1.95</v>
      </c>
      <c r="Q35" s="113">
        <f t="shared" si="14"/>
        <v>1.99</v>
      </c>
      <c r="R35" s="113">
        <f t="shared" si="15"/>
        <v>1.7299999999999998</v>
      </c>
    </row>
    <row r="36" spans="1:18" ht="15" thickBot="1" x14ac:dyDescent="0.35">
      <c r="A36">
        <v>8</v>
      </c>
      <c r="B36" t="s">
        <v>9</v>
      </c>
      <c r="C36" t="s">
        <v>24</v>
      </c>
      <c r="D36" t="s">
        <v>133</v>
      </c>
      <c r="E36">
        <v>1.93</v>
      </c>
      <c r="F36">
        <v>1.99</v>
      </c>
      <c r="I36" s="243"/>
      <c r="J36" s="112" t="s">
        <v>146</v>
      </c>
      <c r="K36" s="113">
        <f t="shared" si="8"/>
        <v>1.95</v>
      </c>
      <c r="L36" s="113" t="str">
        <f t="shared" si="9"/>
        <v>-</v>
      </c>
      <c r="M36" s="113">
        <f t="shared" si="10"/>
        <v>1.6499999999999997</v>
      </c>
      <c r="N36" s="113" t="str">
        <f t="shared" si="11"/>
        <v>-</v>
      </c>
      <c r="O36" s="113" t="str">
        <f t="shared" si="12"/>
        <v>-</v>
      </c>
      <c r="P36" s="113" t="str">
        <f t="shared" si="13"/>
        <v>-</v>
      </c>
      <c r="Q36" s="113" t="str">
        <f t="shared" si="14"/>
        <v>-</v>
      </c>
      <c r="R36" s="113" t="str">
        <f t="shared" si="15"/>
        <v>-</v>
      </c>
    </row>
    <row r="37" spans="1:18" ht="15" thickBot="1" x14ac:dyDescent="0.35">
      <c r="A37">
        <v>8</v>
      </c>
      <c r="B37" t="s">
        <v>9</v>
      </c>
      <c r="C37" t="s">
        <v>24</v>
      </c>
      <c r="D37" t="s">
        <v>43</v>
      </c>
      <c r="E37" t="s">
        <v>136</v>
      </c>
      <c r="F37" t="s">
        <v>136</v>
      </c>
      <c r="I37" s="244"/>
      <c r="J37" s="112" t="s">
        <v>147</v>
      </c>
      <c r="K37" s="113" t="str">
        <f t="shared" si="8"/>
        <v>-</v>
      </c>
      <c r="L37" s="113" t="str">
        <f t="shared" si="9"/>
        <v>-</v>
      </c>
      <c r="M37" s="113" t="str">
        <f t="shared" si="10"/>
        <v>-</v>
      </c>
      <c r="N37" s="113" t="str">
        <f t="shared" si="11"/>
        <v>-</v>
      </c>
      <c r="O37" s="113" t="str">
        <f t="shared" si="12"/>
        <v>-</v>
      </c>
      <c r="P37" s="113" t="str">
        <f t="shared" si="13"/>
        <v>-</v>
      </c>
      <c r="Q37" s="113" t="str">
        <f t="shared" si="14"/>
        <v>-</v>
      </c>
      <c r="R37" s="113" t="str">
        <f t="shared" si="15"/>
        <v>-</v>
      </c>
    </row>
    <row r="38" spans="1:18" x14ac:dyDescent="0.3">
      <c r="A38">
        <v>10</v>
      </c>
      <c r="B38" t="s">
        <v>9</v>
      </c>
      <c r="C38" t="s">
        <v>24</v>
      </c>
      <c r="D38" t="s">
        <v>132</v>
      </c>
      <c r="E38">
        <v>2</v>
      </c>
      <c r="F38">
        <v>2</v>
      </c>
    </row>
    <row r="39" spans="1:18" x14ac:dyDescent="0.3">
      <c r="A39">
        <v>10</v>
      </c>
      <c r="B39" t="s">
        <v>9</v>
      </c>
      <c r="C39" t="s">
        <v>24</v>
      </c>
      <c r="D39" t="s">
        <v>133</v>
      </c>
      <c r="E39">
        <v>1.88</v>
      </c>
      <c r="F39">
        <v>1.95</v>
      </c>
    </row>
    <row r="40" spans="1:18" x14ac:dyDescent="0.3">
      <c r="A40">
        <v>10</v>
      </c>
      <c r="B40" t="s">
        <v>9</v>
      </c>
      <c r="C40" t="s">
        <v>24</v>
      </c>
      <c r="D40" t="s">
        <v>43</v>
      </c>
      <c r="E40" t="s">
        <v>136</v>
      </c>
      <c r="F40" t="s">
        <v>136</v>
      </c>
    </row>
    <row r="41" spans="1:18" x14ac:dyDescent="0.3">
      <c r="A41">
        <v>15</v>
      </c>
      <c r="B41" t="s">
        <v>9</v>
      </c>
      <c r="C41" t="s">
        <v>24</v>
      </c>
      <c r="D41" t="s">
        <v>132</v>
      </c>
      <c r="E41">
        <v>2</v>
      </c>
      <c r="F41">
        <v>2</v>
      </c>
    </row>
    <row r="42" spans="1:18" x14ac:dyDescent="0.3">
      <c r="A42">
        <v>15</v>
      </c>
      <c r="B42" t="s">
        <v>9</v>
      </c>
      <c r="C42" t="s">
        <v>24</v>
      </c>
      <c r="D42" t="s">
        <v>133</v>
      </c>
      <c r="E42">
        <v>1.7399999999999998</v>
      </c>
      <c r="F42">
        <v>1.8199999999999998</v>
      </c>
    </row>
    <row r="43" spans="1:18" x14ac:dyDescent="0.3">
      <c r="A43">
        <v>15</v>
      </c>
      <c r="B43" t="s">
        <v>9</v>
      </c>
      <c r="C43" t="s">
        <v>24</v>
      </c>
      <c r="D43" t="s">
        <v>43</v>
      </c>
      <c r="E43" t="s">
        <v>136</v>
      </c>
      <c r="F43" t="s">
        <v>136</v>
      </c>
    </row>
    <row r="44" spans="1:18" x14ac:dyDescent="0.3">
      <c r="A44">
        <v>20</v>
      </c>
      <c r="B44" t="s">
        <v>9</v>
      </c>
      <c r="C44" t="s">
        <v>24</v>
      </c>
      <c r="D44" t="s">
        <v>132</v>
      </c>
      <c r="E44">
        <v>2</v>
      </c>
      <c r="F44">
        <v>2</v>
      </c>
    </row>
    <row r="45" spans="1:18" x14ac:dyDescent="0.3">
      <c r="A45">
        <v>20</v>
      </c>
      <c r="B45" t="s">
        <v>9</v>
      </c>
      <c r="C45" t="s">
        <v>24</v>
      </c>
      <c r="D45" t="s">
        <v>133</v>
      </c>
      <c r="E45">
        <v>1.6099999999999997</v>
      </c>
      <c r="F45">
        <v>1.6499999999999997</v>
      </c>
    </row>
    <row r="46" spans="1:18" x14ac:dyDescent="0.3">
      <c r="A46">
        <v>20</v>
      </c>
      <c r="B46" t="s">
        <v>9</v>
      </c>
      <c r="C46" t="s">
        <v>24</v>
      </c>
      <c r="D46" t="s">
        <v>43</v>
      </c>
      <c r="E46" t="s">
        <v>136</v>
      </c>
      <c r="F46" t="s">
        <v>136</v>
      </c>
    </row>
    <row r="47" spans="1:18" x14ac:dyDescent="0.3">
      <c r="A47">
        <v>6</v>
      </c>
      <c r="B47" t="s">
        <v>9</v>
      </c>
      <c r="C47" t="s">
        <v>25</v>
      </c>
      <c r="D47" t="s">
        <v>132</v>
      </c>
      <c r="E47">
        <v>2</v>
      </c>
      <c r="F47">
        <v>2</v>
      </c>
    </row>
    <row r="48" spans="1:18" x14ac:dyDescent="0.3">
      <c r="A48">
        <v>6</v>
      </c>
      <c r="B48" t="s">
        <v>9</v>
      </c>
      <c r="C48" t="s">
        <v>25</v>
      </c>
      <c r="D48" t="s">
        <v>133</v>
      </c>
      <c r="E48">
        <v>1.6199999999999997</v>
      </c>
      <c r="F48">
        <v>1.6599999999999997</v>
      </c>
    </row>
    <row r="49" spans="1:6" x14ac:dyDescent="0.3">
      <c r="A49">
        <v>6</v>
      </c>
      <c r="B49" t="s">
        <v>9</v>
      </c>
      <c r="C49" t="s">
        <v>25</v>
      </c>
      <c r="D49" t="s">
        <v>43</v>
      </c>
      <c r="E49" t="s">
        <v>136</v>
      </c>
      <c r="F49" t="s">
        <v>136</v>
      </c>
    </row>
    <row r="50" spans="1:6" x14ac:dyDescent="0.3">
      <c r="A50">
        <v>8</v>
      </c>
      <c r="B50" t="s">
        <v>9</v>
      </c>
      <c r="C50" t="s">
        <v>25</v>
      </c>
      <c r="D50" t="s">
        <v>132</v>
      </c>
      <c r="E50">
        <v>2</v>
      </c>
      <c r="F50">
        <v>2</v>
      </c>
    </row>
    <row r="51" spans="1:6" x14ac:dyDescent="0.3">
      <c r="A51">
        <v>8</v>
      </c>
      <c r="B51" t="s">
        <v>9</v>
      </c>
      <c r="C51" t="s">
        <v>25</v>
      </c>
      <c r="D51" t="s">
        <v>133</v>
      </c>
      <c r="E51">
        <v>1.5099999999999996</v>
      </c>
      <c r="F51">
        <v>1.5399999999999996</v>
      </c>
    </row>
    <row r="52" spans="1:6" x14ac:dyDescent="0.3">
      <c r="A52">
        <v>8</v>
      </c>
      <c r="B52" t="s">
        <v>9</v>
      </c>
      <c r="C52" t="s">
        <v>25</v>
      </c>
      <c r="D52" t="s">
        <v>43</v>
      </c>
      <c r="E52" t="s">
        <v>136</v>
      </c>
      <c r="F52" t="s">
        <v>136</v>
      </c>
    </row>
    <row r="53" spans="1:6" x14ac:dyDescent="0.3">
      <c r="A53">
        <v>10</v>
      </c>
      <c r="B53" t="s">
        <v>9</v>
      </c>
      <c r="C53" t="s">
        <v>25</v>
      </c>
      <c r="D53" t="s">
        <v>132</v>
      </c>
      <c r="E53">
        <v>2</v>
      </c>
      <c r="F53">
        <v>2</v>
      </c>
    </row>
    <row r="54" spans="1:6" x14ac:dyDescent="0.3">
      <c r="A54">
        <v>10</v>
      </c>
      <c r="B54" t="s">
        <v>9</v>
      </c>
      <c r="C54" t="s">
        <v>25</v>
      </c>
      <c r="D54" t="s">
        <v>133</v>
      </c>
      <c r="E54">
        <v>1.4099999999999995</v>
      </c>
      <c r="F54">
        <v>1.4299999999999995</v>
      </c>
    </row>
    <row r="55" spans="1:6" x14ac:dyDescent="0.3">
      <c r="A55">
        <v>10</v>
      </c>
      <c r="B55" t="s">
        <v>9</v>
      </c>
      <c r="C55" t="s">
        <v>25</v>
      </c>
      <c r="D55" t="s">
        <v>43</v>
      </c>
      <c r="E55" t="s">
        <v>136</v>
      </c>
      <c r="F55" t="s">
        <v>136</v>
      </c>
    </row>
    <row r="56" spans="1:6" x14ac:dyDescent="0.3">
      <c r="A56">
        <v>15</v>
      </c>
      <c r="B56" t="s">
        <v>9</v>
      </c>
      <c r="C56" t="s">
        <v>25</v>
      </c>
      <c r="D56" t="s">
        <v>132</v>
      </c>
      <c r="E56">
        <v>1.98</v>
      </c>
      <c r="F56">
        <v>2</v>
      </c>
    </row>
    <row r="57" spans="1:6" x14ac:dyDescent="0.3">
      <c r="A57">
        <v>15</v>
      </c>
      <c r="B57" t="s">
        <v>9</v>
      </c>
      <c r="C57" t="s">
        <v>25</v>
      </c>
      <c r="D57" t="s">
        <v>133</v>
      </c>
      <c r="E57" t="s">
        <v>136</v>
      </c>
      <c r="F57" t="s">
        <v>136</v>
      </c>
    </row>
    <row r="58" spans="1:6" x14ac:dyDescent="0.3">
      <c r="A58">
        <v>15</v>
      </c>
      <c r="B58" t="s">
        <v>9</v>
      </c>
      <c r="C58" t="s">
        <v>25</v>
      </c>
      <c r="D58" t="s">
        <v>43</v>
      </c>
      <c r="E58" t="s">
        <v>136</v>
      </c>
      <c r="F58" t="s">
        <v>136</v>
      </c>
    </row>
    <row r="59" spans="1:6" x14ac:dyDescent="0.3">
      <c r="A59">
        <v>20</v>
      </c>
      <c r="B59" t="s">
        <v>9</v>
      </c>
      <c r="C59" t="s">
        <v>25</v>
      </c>
      <c r="D59" t="s">
        <v>132</v>
      </c>
      <c r="E59">
        <v>1.97</v>
      </c>
      <c r="F59">
        <v>2</v>
      </c>
    </row>
    <row r="60" spans="1:6" x14ac:dyDescent="0.3">
      <c r="A60">
        <v>20</v>
      </c>
      <c r="B60" t="s">
        <v>9</v>
      </c>
      <c r="C60" t="s">
        <v>25</v>
      </c>
      <c r="D60" t="s">
        <v>133</v>
      </c>
      <c r="E60" t="s">
        <v>136</v>
      </c>
      <c r="F60" t="s">
        <v>136</v>
      </c>
    </row>
    <row r="61" spans="1:6" x14ac:dyDescent="0.3">
      <c r="A61">
        <v>20</v>
      </c>
      <c r="B61" t="s">
        <v>9</v>
      </c>
      <c r="C61" t="s">
        <v>25</v>
      </c>
      <c r="D61" t="s">
        <v>43</v>
      </c>
      <c r="E61" t="s">
        <v>136</v>
      </c>
      <c r="F61" t="s">
        <v>136</v>
      </c>
    </row>
    <row r="62" spans="1:6" x14ac:dyDescent="0.3">
      <c r="A62">
        <v>6</v>
      </c>
      <c r="B62" t="s">
        <v>10</v>
      </c>
      <c r="C62" t="s">
        <v>24</v>
      </c>
      <c r="D62" t="s">
        <v>132</v>
      </c>
      <c r="E62">
        <v>2</v>
      </c>
      <c r="F62">
        <v>2</v>
      </c>
    </row>
    <row r="63" spans="1:6" x14ac:dyDescent="0.3">
      <c r="A63">
        <v>6</v>
      </c>
      <c r="B63" t="s">
        <v>10</v>
      </c>
      <c r="C63" t="s">
        <v>24</v>
      </c>
      <c r="D63" t="s">
        <v>133</v>
      </c>
      <c r="E63">
        <v>1.6899999999999997</v>
      </c>
      <c r="F63">
        <v>1.7499999999999998</v>
      </c>
    </row>
    <row r="64" spans="1:6" x14ac:dyDescent="0.3">
      <c r="A64">
        <v>6</v>
      </c>
      <c r="B64" t="s">
        <v>10</v>
      </c>
      <c r="C64" t="s">
        <v>24</v>
      </c>
      <c r="D64" t="s">
        <v>43</v>
      </c>
      <c r="E64" t="s">
        <v>136</v>
      </c>
      <c r="F64" t="s">
        <v>136</v>
      </c>
    </row>
    <row r="65" spans="1:6" x14ac:dyDescent="0.3">
      <c r="A65">
        <v>8</v>
      </c>
      <c r="B65" t="s">
        <v>10</v>
      </c>
      <c r="C65" t="s">
        <v>24</v>
      </c>
      <c r="D65" t="s">
        <v>132</v>
      </c>
      <c r="E65">
        <v>2</v>
      </c>
      <c r="F65">
        <v>2</v>
      </c>
    </row>
    <row r="66" spans="1:6" x14ac:dyDescent="0.3">
      <c r="A66">
        <v>8</v>
      </c>
      <c r="B66" t="s">
        <v>10</v>
      </c>
      <c r="C66" t="s">
        <v>24</v>
      </c>
      <c r="D66" t="s">
        <v>133</v>
      </c>
      <c r="E66">
        <v>1.5999999999999996</v>
      </c>
      <c r="F66">
        <v>1.6299999999999997</v>
      </c>
    </row>
    <row r="67" spans="1:6" x14ac:dyDescent="0.3">
      <c r="A67">
        <v>8</v>
      </c>
      <c r="B67" t="s">
        <v>10</v>
      </c>
      <c r="C67" t="s">
        <v>24</v>
      </c>
      <c r="D67" t="s">
        <v>43</v>
      </c>
      <c r="E67" t="s">
        <v>136</v>
      </c>
      <c r="F67" t="s">
        <v>136</v>
      </c>
    </row>
    <row r="68" spans="1:6" x14ac:dyDescent="0.3">
      <c r="A68">
        <v>10</v>
      </c>
      <c r="B68" t="s">
        <v>10</v>
      </c>
      <c r="C68" t="s">
        <v>24</v>
      </c>
      <c r="D68" t="s">
        <v>132</v>
      </c>
      <c r="E68">
        <v>2</v>
      </c>
      <c r="F68">
        <v>2</v>
      </c>
    </row>
    <row r="69" spans="1:6" x14ac:dyDescent="0.3">
      <c r="A69">
        <v>10</v>
      </c>
      <c r="B69" t="s">
        <v>10</v>
      </c>
      <c r="C69" t="s">
        <v>24</v>
      </c>
      <c r="D69" t="s">
        <v>133</v>
      </c>
      <c r="E69">
        <v>1.4999999999999996</v>
      </c>
      <c r="F69">
        <v>1.5299999999999996</v>
      </c>
    </row>
    <row r="70" spans="1:6" x14ac:dyDescent="0.3">
      <c r="A70">
        <v>10</v>
      </c>
      <c r="B70" t="s">
        <v>10</v>
      </c>
      <c r="C70" t="s">
        <v>24</v>
      </c>
      <c r="D70" t="s">
        <v>43</v>
      </c>
      <c r="E70" t="s">
        <v>136</v>
      </c>
      <c r="F70" t="s">
        <v>136</v>
      </c>
    </row>
    <row r="71" spans="1:6" x14ac:dyDescent="0.3">
      <c r="A71">
        <v>15</v>
      </c>
      <c r="B71" t="s">
        <v>10</v>
      </c>
      <c r="C71" t="s">
        <v>24</v>
      </c>
      <c r="D71" t="s">
        <v>132</v>
      </c>
      <c r="E71">
        <v>1.99</v>
      </c>
      <c r="F71">
        <v>2</v>
      </c>
    </row>
    <row r="72" spans="1:6" x14ac:dyDescent="0.3">
      <c r="A72">
        <v>15</v>
      </c>
      <c r="B72" t="s">
        <v>10</v>
      </c>
      <c r="C72" t="s">
        <v>24</v>
      </c>
      <c r="D72" t="s">
        <v>133</v>
      </c>
      <c r="E72" t="s">
        <v>136</v>
      </c>
      <c r="F72" t="s">
        <v>136</v>
      </c>
    </row>
    <row r="73" spans="1:6" x14ac:dyDescent="0.3">
      <c r="A73">
        <v>15</v>
      </c>
      <c r="B73" t="s">
        <v>10</v>
      </c>
      <c r="C73" t="s">
        <v>24</v>
      </c>
      <c r="D73" t="s">
        <v>43</v>
      </c>
      <c r="E73" t="s">
        <v>136</v>
      </c>
      <c r="F73" t="s">
        <v>136</v>
      </c>
    </row>
    <row r="74" spans="1:6" x14ac:dyDescent="0.3">
      <c r="A74">
        <v>20</v>
      </c>
      <c r="B74" t="s">
        <v>10</v>
      </c>
      <c r="C74" t="s">
        <v>24</v>
      </c>
      <c r="D74" t="s">
        <v>132</v>
      </c>
      <c r="E74">
        <v>1.98</v>
      </c>
      <c r="F74">
        <v>2</v>
      </c>
    </row>
    <row r="75" spans="1:6" x14ac:dyDescent="0.3">
      <c r="A75">
        <v>20</v>
      </c>
      <c r="B75" t="s">
        <v>10</v>
      </c>
      <c r="C75" t="s">
        <v>24</v>
      </c>
      <c r="D75" t="s">
        <v>133</v>
      </c>
      <c r="E75" t="s">
        <v>136</v>
      </c>
      <c r="F75" t="s">
        <v>136</v>
      </c>
    </row>
    <row r="76" spans="1:6" x14ac:dyDescent="0.3">
      <c r="A76">
        <v>20</v>
      </c>
      <c r="B76" t="s">
        <v>10</v>
      </c>
      <c r="C76" t="s">
        <v>24</v>
      </c>
      <c r="D76" t="s">
        <v>43</v>
      </c>
      <c r="E76" t="s">
        <v>136</v>
      </c>
      <c r="F76" t="s">
        <v>136</v>
      </c>
    </row>
    <row r="77" spans="1:6" x14ac:dyDescent="0.3">
      <c r="A77">
        <v>6</v>
      </c>
      <c r="B77" t="s">
        <v>10</v>
      </c>
      <c r="C77" t="s">
        <v>25</v>
      </c>
      <c r="D77" t="s">
        <v>132</v>
      </c>
      <c r="E77">
        <v>1.98</v>
      </c>
      <c r="F77">
        <v>2</v>
      </c>
    </row>
    <row r="78" spans="1:6" x14ac:dyDescent="0.3">
      <c r="A78">
        <v>6</v>
      </c>
      <c r="B78" t="s">
        <v>10</v>
      </c>
      <c r="C78" t="s">
        <v>25</v>
      </c>
      <c r="D78" t="s">
        <v>133</v>
      </c>
      <c r="E78" t="s">
        <v>136</v>
      </c>
      <c r="F78" t="s">
        <v>136</v>
      </c>
    </row>
    <row r="79" spans="1:6" x14ac:dyDescent="0.3">
      <c r="A79">
        <v>6</v>
      </c>
      <c r="B79" t="s">
        <v>10</v>
      </c>
      <c r="C79" t="s">
        <v>25</v>
      </c>
      <c r="D79" t="s">
        <v>43</v>
      </c>
      <c r="E79" t="s">
        <v>136</v>
      </c>
      <c r="F79" t="s">
        <v>136</v>
      </c>
    </row>
    <row r="80" spans="1:6" x14ac:dyDescent="0.3">
      <c r="A80">
        <v>8</v>
      </c>
      <c r="B80" t="s">
        <v>10</v>
      </c>
      <c r="C80" t="s">
        <v>25</v>
      </c>
      <c r="D80" t="s">
        <v>132</v>
      </c>
      <c r="E80">
        <v>1.98</v>
      </c>
      <c r="F80">
        <v>2</v>
      </c>
    </row>
    <row r="81" spans="1:6" x14ac:dyDescent="0.3">
      <c r="A81">
        <v>8</v>
      </c>
      <c r="B81" t="s">
        <v>10</v>
      </c>
      <c r="C81" t="s">
        <v>25</v>
      </c>
      <c r="D81" t="s">
        <v>133</v>
      </c>
      <c r="E81" t="s">
        <v>136</v>
      </c>
      <c r="F81" t="s">
        <v>136</v>
      </c>
    </row>
    <row r="82" spans="1:6" x14ac:dyDescent="0.3">
      <c r="A82">
        <v>8</v>
      </c>
      <c r="B82" t="s">
        <v>10</v>
      </c>
      <c r="C82" t="s">
        <v>25</v>
      </c>
      <c r="D82" t="s">
        <v>43</v>
      </c>
      <c r="E82" t="s">
        <v>136</v>
      </c>
      <c r="F82" t="s">
        <v>136</v>
      </c>
    </row>
    <row r="83" spans="1:6" x14ac:dyDescent="0.3">
      <c r="A83">
        <v>10</v>
      </c>
      <c r="B83" t="s">
        <v>10</v>
      </c>
      <c r="C83" t="s">
        <v>25</v>
      </c>
      <c r="D83" t="s">
        <v>132</v>
      </c>
      <c r="E83">
        <v>1.97</v>
      </c>
      <c r="F83">
        <v>2</v>
      </c>
    </row>
    <row r="84" spans="1:6" x14ac:dyDescent="0.3">
      <c r="A84">
        <v>10</v>
      </c>
      <c r="B84" t="s">
        <v>10</v>
      </c>
      <c r="C84" t="s">
        <v>25</v>
      </c>
      <c r="D84" t="s">
        <v>133</v>
      </c>
      <c r="E84" t="s">
        <v>136</v>
      </c>
      <c r="F84" t="s">
        <v>136</v>
      </c>
    </row>
    <row r="85" spans="1:6" x14ac:dyDescent="0.3">
      <c r="A85">
        <v>10</v>
      </c>
      <c r="B85" t="s">
        <v>10</v>
      </c>
      <c r="C85" t="s">
        <v>25</v>
      </c>
      <c r="D85" t="s">
        <v>43</v>
      </c>
      <c r="E85" t="s">
        <v>136</v>
      </c>
      <c r="F85" t="s">
        <v>136</v>
      </c>
    </row>
    <row r="86" spans="1:6" x14ac:dyDescent="0.3">
      <c r="A86">
        <v>15</v>
      </c>
      <c r="B86" t="s">
        <v>10</v>
      </c>
      <c r="C86" t="s">
        <v>25</v>
      </c>
      <c r="D86" t="s">
        <v>132</v>
      </c>
      <c r="E86">
        <v>1.95</v>
      </c>
      <c r="F86">
        <v>2</v>
      </c>
    </row>
    <row r="87" spans="1:6" x14ac:dyDescent="0.3">
      <c r="A87">
        <v>15</v>
      </c>
      <c r="B87" t="s">
        <v>10</v>
      </c>
      <c r="C87" t="s">
        <v>25</v>
      </c>
      <c r="D87" t="s">
        <v>133</v>
      </c>
      <c r="E87" t="s">
        <v>136</v>
      </c>
      <c r="F87" t="s">
        <v>136</v>
      </c>
    </row>
    <row r="88" spans="1:6" x14ac:dyDescent="0.3">
      <c r="A88">
        <v>15</v>
      </c>
      <c r="B88" t="s">
        <v>10</v>
      </c>
      <c r="C88" t="s">
        <v>25</v>
      </c>
      <c r="D88" t="s">
        <v>43</v>
      </c>
      <c r="E88" t="s">
        <v>136</v>
      </c>
      <c r="F88" t="s">
        <v>136</v>
      </c>
    </row>
    <row r="89" spans="1:6" x14ac:dyDescent="0.3">
      <c r="A89">
        <v>20</v>
      </c>
      <c r="B89" t="s">
        <v>10</v>
      </c>
      <c r="C89" t="s">
        <v>25</v>
      </c>
      <c r="D89" t="s">
        <v>132</v>
      </c>
      <c r="E89">
        <v>1.88</v>
      </c>
      <c r="F89">
        <v>1.95</v>
      </c>
    </row>
    <row r="90" spans="1:6" x14ac:dyDescent="0.3">
      <c r="A90">
        <v>20</v>
      </c>
      <c r="B90" t="s">
        <v>10</v>
      </c>
      <c r="C90" t="s">
        <v>25</v>
      </c>
      <c r="D90" t="s">
        <v>133</v>
      </c>
      <c r="E90" t="s">
        <v>136</v>
      </c>
      <c r="F90" t="s">
        <v>136</v>
      </c>
    </row>
    <row r="91" spans="1:6" x14ac:dyDescent="0.3">
      <c r="A91">
        <v>20</v>
      </c>
      <c r="B91" t="s">
        <v>10</v>
      </c>
      <c r="C91" t="s">
        <v>25</v>
      </c>
      <c r="D91" t="s">
        <v>43</v>
      </c>
      <c r="E91" t="s">
        <v>136</v>
      </c>
      <c r="F91" t="s">
        <v>136</v>
      </c>
    </row>
    <row r="92" spans="1:6" x14ac:dyDescent="0.3">
      <c r="A92">
        <v>6</v>
      </c>
      <c r="B92" t="s">
        <v>11</v>
      </c>
      <c r="C92" t="s">
        <v>24</v>
      </c>
      <c r="D92" t="s">
        <v>132</v>
      </c>
      <c r="E92">
        <v>1.99</v>
      </c>
      <c r="F92">
        <v>2</v>
      </c>
    </row>
    <row r="93" spans="1:6" x14ac:dyDescent="0.3">
      <c r="A93">
        <v>6</v>
      </c>
      <c r="B93" t="s">
        <v>11</v>
      </c>
      <c r="C93" t="s">
        <v>24</v>
      </c>
      <c r="D93" t="s">
        <v>133</v>
      </c>
      <c r="E93" t="s">
        <v>136</v>
      </c>
      <c r="F93" t="s">
        <v>136</v>
      </c>
    </row>
    <row r="94" spans="1:6" x14ac:dyDescent="0.3">
      <c r="A94">
        <v>6</v>
      </c>
      <c r="B94" t="s">
        <v>11</v>
      </c>
      <c r="C94" t="s">
        <v>24</v>
      </c>
      <c r="D94" t="s">
        <v>43</v>
      </c>
      <c r="E94" t="s">
        <v>136</v>
      </c>
      <c r="F94" t="s">
        <v>136</v>
      </c>
    </row>
    <row r="95" spans="1:6" x14ac:dyDescent="0.3">
      <c r="A95">
        <v>8</v>
      </c>
      <c r="B95" t="s">
        <v>11</v>
      </c>
      <c r="C95" t="s">
        <v>24</v>
      </c>
      <c r="D95" t="s">
        <v>132</v>
      </c>
      <c r="E95">
        <v>1.98</v>
      </c>
      <c r="F95">
        <v>2</v>
      </c>
    </row>
    <row r="96" spans="1:6" x14ac:dyDescent="0.3">
      <c r="A96">
        <v>8</v>
      </c>
      <c r="B96" t="s">
        <v>11</v>
      </c>
      <c r="C96" t="s">
        <v>24</v>
      </c>
      <c r="D96" t="s">
        <v>133</v>
      </c>
      <c r="E96" t="s">
        <v>136</v>
      </c>
      <c r="F96" t="s">
        <v>136</v>
      </c>
    </row>
    <row r="97" spans="1:6" x14ac:dyDescent="0.3">
      <c r="A97">
        <v>8</v>
      </c>
      <c r="B97" t="s">
        <v>11</v>
      </c>
      <c r="C97" t="s">
        <v>24</v>
      </c>
      <c r="D97" t="s">
        <v>43</v>
      </c>
      <c r="E97" t="s">
        <v>136</v>
      </c>
      <c r="F97" t="s">
        <v>136</v>
      </c>
    </row>
    <row r="98" spans="1:6" x14ac:dyDescent="0.3">
      <c r="A98">
        <v>10</v>
      </c>
      <c r="B98" t="s">
        <v>11</v>
      </c>
      <c r="C98" t="s">
        <v>24</v>
      </c>
      <c r="D98" t="s">
        <v>132</v>
      </c>
      <c r="E98">
        <v>1.97</v>
      </c>
      <c r="F98">
        <v>2</v>
      </c>
    </row>
    <row r="99" spans="1:6" x14ac:dyDescent="0.3">
      <c r="A99">
        <v>10</v>
      </c>
      <c r="B99" t="s">
        <v>11</v>
      </c>
      <c r="C99" t="s">
        <v>24</v>
      </c>
      <c r="D99" t="s">
        <v>133</v>
      </c>
      <c r="E99" t="s">
        <v>136</v>
      </c>
      <c r="F99" t="s">
        <v>136</v>
      </c>
    </row>
    <row r="100" spans="1:6" x14ac:dyDescent="0.3">
      <c r="A100">
        <v>10</v>
      </c>
      <c r="B100" t="s">
        <v>11</v>
      </c>
      <c r="C100" t="s">
        <v>24</v>
      </c>
      <c r="D100" t="s">
        <v>43</v>
      </c>
      <c r="E100" t="s">
        <v>136</v>
      </c>
      <c r="F100" t="s">
        <v>136</v>
      </c>
    </row>
    <row r="101" spans="1:6" x14ac:dyDescent="0.3">
      <c r="A101">
        <v>15</v>
      </c>
      <c r="B101" t="s">
        <v>11</v>
      </c>
      <c r="C101" t="s">
        <v>24</v>
      </c>
      <c r="D101" t="s">
        <v>132</v>
      </c>
      <c r="E101">
        <v>1.96</v>
      </c>
      <c r="F101">
        <v>2</v>
      </c>
    </row>
    <row r="102" spans="1:6" x14ac:dyDescent="0.3">
      <c r="A102">
        <v>15</v>
      </c>
      <c r="B102" t="s">
        <v>11</v>
      </c>
      <c r="C102" t="s">
        <v>24</v>
      </c>
      <c r="D102" t="s">
        <v>133</v>
      </c>
      <c r="E102" t="s">
        <v>136</v>
      </c>
      <c r="F102" t="s">
        <v>136</v>
      </c>
    </row>
    <row r="103" spans="1:6" x14ac:dyDescent="0.3">
      <c r="A103">
        <v>15</v>
      </c>
      <c r="B103" t="s">
        <v>11</v>
      </c>
      <c r="C103" t="s">
        <v>24</v>
      </c>
      <c r="D103" t="s">
        <v>43</v>
      </c>
      <c r="E103" t="s">
        <v>136</v>
      </c>
      <c r="F103" t="s">
        <v>136</v>
      </c>
    </row>
    <row r="104" spans="1:6" x14ac:dyDescent="0.3">
      <c r="A104">
        <v>20</v>
      </c>
      <c r="B104" t="s">
        <v>11</v>
      </c>
      <c r="C104" t="s">
        <v>24</v>
      </c>
      <c r="D104" t="s">
        <v>132</v>
      </c>
      <c r="E104">
        <v>1.93</v>
      </c>
      <c r="F104">
        <v>1.99</v>
      </c>
    </row>
    <row r="105" spans="1:6" x14ac:dyDescent="0.3">
      <c r="A105">
        <v>20</v>
      </c>
      <c r="B105" t="s">
        <v>11</v>
      </c>
      <c r="C105" t="s">
        <v>24</v>
      </c>
      <c r="D105" t="s">
        <v>133</v>
      </c>
      <c r="E105" t="s">
        <v>136</v>
      </c>
      <c r="F105" t="s">
        <v>136</v>
      </c>
    </row>
    <row r="106" spans="1:6" x14ac:dyDescent="0.3">
      <c r="A106">
        <v>20</v>
      </c>
      <c r="B106" t="s">
        <v>11</v>
      </c>
      <c r="C106" t="s">
        <v>24</v>
      </c>
      <c r="D106" t="s">
        <v>43</v>
      </c>
      <c r="E106" t="s">
        <v>136</v>
      </c>
      <c r="F106" t="s">
        <v>136</v>
      </c>
    </row>
    <row r="107" spans="1:6" x14ac:dyDescent="0.3">
      <c r="A107">
        <v>6</v>
      </c>
      <c r="B107" t="s">
        <v>11</v>
      </c>
      <c r="C107" t="s">
        <v>25</v>
      </c>
      <c r="D107" t="s">
        <v>132</v>
      </c>
      <c r="E107">
        <v>1.96</v>
      </c>
      <c r="F107">
        <v>2</v>
      </c>
    </row>
    <row r="108" spans="1:6" x14ac:dyDescent="0.3">
      <c r="A108">
        <v>6</v>
      </c>
      <c r="B108" t="s">
        <v>11</v>
      </c>
      <c r="C108" t="s">
        <v>25</v>
      </c>
      <c r="D108" t="s">
        <v>133</v>
      </c>
      <c r="E108" t="s">
        <v>136</v>
      </c>
      <c r="F108" t="s">
        <v>136</v>
      </c>
    </row>
    <row r="109" spans="1:6" x14ac:dyDescent="0.3">
      <c r="A109">
        <v>6</v>
      </c>
      <c r="B109" t="s">
        <v>11</v>
      </c>
      <c r="C109" t="s">
        <v>25</v>
      </c>
      <c r="D109" t="s">
        <v>43</v>
      </c>
      <c r="E109" t="s">
        <v>136</v>
      </c>
      <c r="F109" t="s">
        <v>136</v>
      </c>
    </row>
    <row r="110" spans="1:6" x14ac:dyDescent="0.3">
      <c r="A110">
        <v>8</v>
      </c>
      <c r="B110" t="s">
        <v>11</v>
      </c>
      <c r="C110" t="s">
        <v>25</v>
      </c>
      <c r="D110" t="s">
        <v>132</v>
      </c>
      <c r="E110">
        <v>1.95</v>
      </c>
      <c r="F110">
        <v>2</v>
      </c>
    </row>
    <row r="111" spans="1:6" x14ac:dyDescent="0.3">
      <c r="A111">
        <v>8</v>
      </c>
      <c r="B111" t="s">
        <v>11</v>
      </c>
      <c r="C111" t="s">
        <v>25</v>
      </c>
      <c r="D111" t="s">
        <v>133</v>
      </c>
      <c r="E111" t="s">
        <v>136</v>
      </c>
      <c r="F111" t="s">
        <v>136</v>
      </c>
    </row>
    <row r="112" spans="1:6" x14ac:dyDescent="0.3">
      <c r="A112">
        <v>8</v>
      </c>
      <c r="B112" t="s">
        <v>11</v>
      </c>
      <c r="C112" t="s">
        <v>25</v>
      </c>
      <c r="D112" t="s">
        <v>43</v>
      </c>
      <c r="E112" t="s">
        <v>136</v>
      </c>
      <c r="F112" t="s">
        <v>136</v>
      </c>
    </row>
    <row r="113" spans="1:6" x14ac:dyDescent="0.3">
      <c r="A113">
        <v>10</v>
      </c>
      <c r="B113" t="s">
        <v>11</v>
      </c>
      <c r="C113" t="s">
        <v>25</v>
      </c>
      <c r="D113" t="s">
        <v>132</v>
      </c>
      <c r="E113">
        <v>1.92</v>
      </c>
      <c r="F113">
        <v>1.98</v>
      </c>
    </row>
    <row r="114" spans="1:6" x14ac:dyDescent="0.3">
      <c r="A114">
        <v>10</v>
      </c>
      <c r="B114" t="s">
        <v>11</v>
      </c>
      <c r="C114" t="s">
        <v>25</v>
      </c>
      <c r="D114" t="s">
        <v>133</v>
      </c>
      <c r="E114" t="s">
        <v>136</v>
      </c>
      <c r="F114" t="s">
        <v>136</v>
      </c>
    </row>
    <row r="115" spans="1:6" x14ac:dyDescent="0.3">
      <c r="A115">
        <v>10</v>
      </c>
      <c r="B115" t="s">
        <v>11</v>
      </c>
      <c r="C115" t="s">
        <v>25</v>
      </c>
      <c r="D115" t="s">
        <v>43</v>
      </c>
      <c r="E115" t="s">
        <v>136</v>
      </c>
      <c r="F115" t="s">
        <v>136</v>
      </c>
    </row>
    <row r="116" spans="1:6" x14ac:dyDescent="0.3">
      <c r="A116">
        <v>15</v>
      </c>
      <c r="B116" t="s">
        <v>11</v>
      </c>
      <c r="C116" t="s">
        <v>25</v>
      </c>
      <c r="D116" t="s">
        <v>132</v>
      </c>
      <c r="E116">
        <v>1.7999999999999998</v>
      </c>
      <c r="F116">
        <v>1.89</v>
      </c>
    </row>
    <row r="117" spans="1:6" x14ac:dyDescent="0.3">
      <c r="A117">
        <v>15</v>
      </c>
      <c r="B117" t="s">
        <v>11</v>
      </c>
      <c r="C117" t="s">
        <v>25</v>
      </c>
      <c r="D117" t="s">
        <v>133</v>
      </c>
      <c r="E117" t="s">
        <v>136</v>
      </c>
      <c r="F117" t="s">
        <v>136</v>
      </c>
    </row>
    <row r="118" spans="1:6" x14ac:dyDescent="0.3">
      <c r="A118">
        <v>15</v>
      </c>
      <c r="B118" t="s">
        <v>11</v>
      </c>
      <c r="C118" t="s">
        <v>25</v>
      </c>
      <c r="D118" t="s">
        <v>43</v>
      </c>
      <c r="E118" t="s">
        <v>136</v>
      </c>
      <c r="F118" t="s">
        <v>136</v>
      </c>
    </row>
    <row r="119" spans="1:6" x14ac:dyDescent="0.3">
      <c r="A119">
        <v>20</v>
      </c>
      <c r="B119" t="s">
        <v>11</v>
      </c>
      <c r="C119" t="s">
        <v>25</v>
      </c>
      <c r="D119" t="s">
        <v>132</v>
      </c>
      <c r="E119">
        <v>1.6699999999999997</v>
      </c>
      <c r="F119">
        <v>1.7299999999999998</v>
      </c>
    </row>
    <row r="120" spans="1:6" x14ac:dyDescent="0.3">
      <c r="A120">
        <v>20</v>
      </c>
      <c r="B120" t="s">
        <v>11</v>
      </c>
      <c r="C120" t="s">
        <v>25</v>
      </c>
      <c r="D120" t="s">
        <v>133</v>
      </c>
      <c r="E120" t="s">
        <v>136</v>
      </c>
      <c r="F120" t="s">
        <v>136</v>
      </c>
    </row>
    <row r="121" spans="1:6" x14ac:dyDescent="0.3">
      <c r="A121">
        <v>20</v>
      </c>
      <c r="B121" t="s">
        <v>11</v>
      </c>
      <c r="C121" t="s">
        <v>25</v>
      </c>
      <c r="D121" t="s">
        <v>43</v>
      </c>
      <c r="E121" t="s">
        <v>136</v>
      </c>
      <c r="F121" t="s">
        <v>136</v>
      </c>
    </row>
  </sheetData>
  <sheetProtection algorithmName="SHA-512" hashValue="ZiSm0lqcmAwwRBPM5fU3lfx0lO2vdr9Qur/is/uap5dtrpbN+OdaUwjtlfVdbvurLrEwHDz6HPYY+gkNY1RGoQ==" saltValue="wKWWvidX0ggX1v8SUndrMQ==" spinCount="100000" sheet="1" objects="1" scenarios="1" selectLockedCells="1" selectUnlockedCells="1"/>
  <mergeCells count="22">
    <mergeCell ref="Q2:R2"/>
    <mergeCell ref="I2:I3"/>
    <mergeCell ref="J2:J3"/>
    <mergeCell ref="K2:L2"/>
    <mergeCell ref="M2:N2"/>
    <mergeCell ref="O2:P2"/>
    <mergeCell ref="I4:I6"/>
    <mergeCell ref="I7:I9"/>
    <mergeCell ref="I10:I12"/>
    <mergeCell ref="I13:I15"/>
    <mergeCell ref="I16:I18"/>
    <mergeCell ref="K21:L21"/>
    <mergeCell ref="M21:N21"/>
    <mergeCell ref="O21:P21"/>
    <mergeCell ref="Q21:R21"/>
    <mergeCell ref="I23:I25"/>
    <mergeCell ref="I21:I22"/>
    <mergeCell ref="I26:I28"/>
    <mergeCell ref="I29:I31"/>
    <mergeCell ref="I32:I34"/>
    <mergeCell ref="I35:I37"/>
    <mergeCell ref="J21:J22"/>
  </mergeCells>
  <phoneticPr fontId="17" type="noConversion"/>
  <conditionalFormatting sqref="K4:R18 K23:R37">
    <cfRule type="cellIs" dxfId="7" priority="1" operator="between">
      <formula>1</formula>
      <formula>1.6</formula>
    </cfRule>
    <cfRule type="cellIs" dxfId="6" priority="2" operator="between">
      <formula>1.59</formula>
      <formula>1.79</formula>
    </cfRule>
    <cfRule type="cellIs" dxfId="5" priority="3" operator="between">
      <formula>1.79</formula>
      <formula>1.95</formula>
    </cfRule>
    <cfRule type="cellIs" dxfId="4" priority="4" operator="between">
      <formula>1.95</formula>
      <formula>2.1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86F0F-C3BB-4908-A77B-85DCC4AA061B}">
  <sheetPr codeName="Feuil8"/>
  <dimension ref="A1:M73"/>
  <sheetViews>
    <sheetView workbookViewId="0">
      <selection activeCell="B20" sqref="B20"/>
    </sheetView>
  </sheetViews>
  <sheetFormatPr baseColWidth="10" defaultRowHeight="14.4" x14ac:dyDescent="0.3"/>
  <cols>
    <col min="7" max="7" width="11.5546875" style="79"/>
    <col min="13" max="13" width="11.5546875" style="79"/>
  </cols>
  <sheetData>
    <row r="1" spans="1:12" ht="15" thickBot="1" x14ac:dyDescent="0.35">
      <c r="A1" t="s">
        <v>151</v>
      </c>
      <c r="B1" t="s">
        <v>152</v>
      </c>
      <c r="C1" t="s">
        <v>153</v>
      </c>
      <c r="D1" t="s">
        <v>134</v>
      </c>
      <c r="E1" t="s">
        <v>135</v>
      </c>
      <c r="H1" s="79" t="s">
        <v>148</v>
      </c>
      <c r="I1" s="79" t="s">
        <v>73</v>
      </c>
      <c r="J1" s="79"/>
      <c r="K1" s="79"/>
      <c r="L1" s="79"/>
    </row>
    <row r="2" spans="1:12" ht="15" thickBot="1" x14ac:dyDescent="0.35">
      <c r="A2" t="s">
        <v>51</v>
      </c>
      <c r="B2">
        <v>200</v>
      </c>
      <c r="C2">
        <v>10</v>
      </c>
      <c r="D2">
        <v>2</v>
      </c>
      <c r="E2">
        <v>2</v>
      </c>
      <c r="H2" s="242" t="s">
        <v>151</v>
      </c>
      <c r="I2" s="245" t="s">
        <v>3</v>
      </c>
      <c r="J2" s="247" t="s">
        <v>154</v>
      </c>
      <c r="K2" s="249"/>
      <c r="L2" s="248"/>
    </row>
    <row r="3" spans="1:12" ht="15" thickBot="1" x14ac:dyDescent="0.35">
      <c r="A3" t="s">
        <v>51</v>
      </c>
      <c r="B3">
        <v>500</v>
      </c>
      <c r="C3">
        <v>10</v>
      </c>
      <c r="D3">
        <v>1.7399999999999998</v>
      </c>
      <c r="E3">
        <v>1.91</v>
      </c>
      <c r="H3" s="244"/>
      <c r="I3" s="246"/>
      <c r="J3" s="111" t="s">
        <v>155</v>
      </c>
      <c r="K3" s="111" t="s">
        <v>156</v>
      </c>
      <c r="L3" s="111" t="s">
        <v>157</v>
      </c>
    </row>
    <row r="4" spans="1:12" ht="15" thickBot="1" x14ac:dyDescent="0.35">
      <c r="A4" t="s">
        <v>51</v>
      </c>
      <c r="B4">
        <v>900</v>
      </c>
      <c r="C4">
        <v>10</v>
      </c>
      <c r="D4" t="s">
        <v>136</v>
      </c>
      <c r="E4" t="s">
        <v>136</v>
      </c>
      <c r="H4" s="242" t="s">
        <v>51</v>
      </c>
      <c r="I4" s="111">
        <v>200</v>
      </c>
      <c r="J4" s="113">
        <f>D2</f>
        <v>2</v>
      </c>
      <c r="K4" s="113">
        <f>D26</f>
        <v>2</v>
      </c>
      <c r="L4" s="113">
        <f>D50</f>
        <v>2</v>
      </c>
    </row>
    <row r="5" spans="1:12" ht="15" thickBot="1" x14ac:dyDescent="0.35">
      <c r="A5" t="s">
        <v>52</v>
      </c>
      <c r="B5">
        <v>200</v>
      </c>
      <c r="C5">
        <v>10</v>
      </c>
      <c r="D5">
        <v>1.8599999999999999</v>
      </c>
      <c r="E5">
        <v>2</v>
      </c>
      <c r="H5" s="243"/>
      <c r="I5" s="111">
        <v>500</v>
      </c>
      <c r="J5" s="113">
        <f t="shared" ref="J5:J27" si="0">D3</f>
        <v>1.7399999999999998</v>
      </c>
      <c r="K5" s="113">
        <f t="shared" ref="K5:K27" si="1">D27</f>
        <v>1.7699999999999998</v>
      </c>
      <c r="L5" s="113">
        <f t="shared" ref="L5:L27" si="2">D51</f>
        <v>1.89</v>
      </c>
    </row>
    <row r="6" spans="1:12" ht="15" thickBot="1" x14ac:dyDescent="0.35">
      <c r="A6" t="s">
        <v>52</v>
      </c>
      <c r="B6">
        <v>500</v>
      </c>
      <c r="C6">
        <v>10</v>
      </c>
      <c r="D6">
        <v>1.7399999999999998</v>
      </c>
      <c r="E6">
        <v>1.91</v>
      </c>
      <c r="H6" s="244"/>
      <c r="I6" s="111">
        <v>900</v>
      </c>
      <c r="J6" s="113" t="str">
        <f t="shared" si="0"/>
        <v>-</v>
      </c>
      <c r="K6" s="113" t="str">
        <f t="shared" si="1"/>
        <v>-</v>
      </c>
      <c r="L6" s="113" t="str">
        <f t="shared" si="2"/>
        <v>-</v>
      </c>
    </row>
    <row r="7" spans="1:12" ht="15" thickBot="1" x14ac:dyDescent="0.35">
      <c r="A7" t="s">
        <v>52</v>
      </c>
      <c r="B7">
        <v>900</v>
      </c>
      <c r="C7">
        <v>10</v>
      </c>
      <c r="D7" t="s">
        <v>136</v>
      </c>
      <c r="E7" t="s">
        <v>136</v>
      </c>
      <c r="H7" s="242" t="s">
        <v>52</v>
      </c>
      <c r="I7" s="111">
        <v>200</v>
      </c>
      <c r="J7" s="113">
        <f t="shared" si="0"/>
        <v>1.8599999999999999</v>
      </c>
      <c r="K7" s="113">
        <f t="shared" si="1"/>
        <v>1.89</v>
      </c>
      <c r="L7" s="113">
        <f t="shared" si="2"/>
        <v>1.99</v>
      </c>
    </row>
    <row r="8" spans="1:12" ht="15" thickBot="1" x14ac:dyDescent="0.35">
      <c r="A8" t="s">
        <v>53</v>
      </c>
      <c r="B8">
        <v>200</v>
      </c>
      <c r="C8">
        <v>10</v>
      </c>
      <c r="D8">
        <v>1.8599999999999999</v>
      </c>
      <c r="E8">
        <v>2</v>
      </c>
      <c r="H8" s="243"/>
      <c r="I8" s="111">
        <v>500</v>
      </c>
      <c r="J8" s="113">
        <f t="shared" si="0"/>
        <v>1.7399999999999998</v>
      </c>
      <c r="K8" s="113">
        <f t="shared" si="1"/>
        <v>1.7699999999999998</v>
      </c>
      <c r="L8" s="113">
        <f t="shared" si="2"/>
        <v>1.89</v>
      </c>
    </row>
    <row r="9" spans="1:12" ht="15" thickBot="1" x14ac:dyDescent="0.35">
      <c r="A9" t="s">
        <v>53</v>
      </c>
      <c r="B9">
        <v>500</v>
      </c>
      <c r="C9">
        <v>10</v>
      </c>
      <c r="D9">
        <v>1.6699999999999997</v>
      </c>
      <c r="E9">
        <v>1.8599999999999999</v>
      </c>
      <c r="H9" s="244"/>
      <c r="I9" s="111">
        <v>900</v>
      </c>
      <c r="J9" s="113" t="str">
        <f t="shared" si="0"/>
        <v>-</v>
      </c>
      <c r="K9" s="113" t="str">
        <f t="shared" si="1"/>
        <v>-</v>
      </c>
      <c r="L9" s="113" t="str">
        <f t="shared" si="2"/>
        <v>-</v>
      </c>
    </row>
    <row r="10" spans="1:12" ht="15" thickBot="1" x14ac:dyDescent="0.35">
      <c r="A10" t="s">
        <v>53</v>
      </c>
      <c r="B10">
        <v>900</v>
      </c>
      <c r="C10">
        <v>10</v>
      </c>
      <c r="D10" t="s">
        <v>136</v>
      </c>
      <c r="E10" t="s">
        <v>136</v>
      </c>
      <c r="H10" s="242" t="s">
        <v>53</v>
      </c>
      <c r="I10" s="111">
        <v>200</v>
      </c>
      <c r="J10" s="113">
        <f t="shared" si="0"/>
        <v>1.8599999999999999</v>
      </c>
      <c r="K10" s="113">
        <f t="shared" si="1"/>
        <v>1.89</v>
      </c>
      <c r="L10" s="113">
        <f t="shared" si="2"/>
        <v>1.99</v>
      </c>
    </row>
    <row r="11" spans="1:12" ht="15" thickBot="1" x14ac:dyDescent="0.35">
      <c r="A11" t="s">
        <v>54</v>
      </c>
      <c r="B11">
        <v>200</v>
      </c>
      <c r="C11">
        <v>10</v>
      </c>
      <c r="D11">
        <v>1.6999999999999997</v>
      </c>
      <c r="E11">
        <v>1.88</v>
      </c>
      <c r="H11" s="243"/>
      <c r="I11" s="111">
        <v>500</v>
      </c>
      <c r="J11" s="113">
        <f t="shared" si="0"/>
        <v>1.6699999999999997</v>
      </c>
      <c r="K11" s="113">
        <f t="shared" si="1"/>
        <v>1.6899999999999997</v>
      </c>
      <c r="L11" s="113">
        <f t="shared" si="2"/>
        <v>1.8299999999999998</v>
      </c>
    </row>
    <row r="12" spans="1:12" ht="15" thickBot="1" x14ac:dyDescent="0.35">
      <c r="A12" t="s">
        <v>54</v>
      </c>
      <c r="B12">
        <v>500</v>
      </c>
      <c r="C12">
        <v>10</v>
      </c>
      <c r="D12">
        <v>1.6699999999999997</v>
      </c>
      <c r="E12">
        <v>1.8599999999999999</v>
      </c>
      <c r="H12" s="244"/>
      <c r="I12" s="111">
        <v>900</v>
      </c>
      <c r="J12" s="113" t="str">
        <f t="shared" si="0"/>
        <v>-</v>
      </c>
      <c r="K12" s="113" t="str">
        <f t="shared" si="1"/>
        <v>-</v>
      </c>
      <c r="L12" s="113" t="str">
        <f t="shared" si="2"/>
        <v>-</v>
      </c>
    </row>
    <row r="13" spans="1:12" ht="15" thickBot="1" x14ac:dyDescent="0.35">
      <c r="A13" t="s">
        <v>54</v>
      </c>
      <c r="B13">
        <v>900</v>
      </c>
      <c r="C13">
        <v>10</v>
      </c>
      <c r="D13" t="s">
        <v>136</v>
      </c>
      <c r="E13" t="s">
        <v>136</v>
      </c>
      <c r="H13" s="242" t="s">
        <v>54</v>
      </c>
      <c r="I13" s="111">
        <v>200</v>
      </c>
      <c r="J13" s="113">
        <f t="shared" si="0"/>
        <v>1.6999999999999997</v>
      </c>
      <c r="K13" s="113">
        <f t="shared" si="1"/>
        <v>1.7299999999999998</v>
      </c>
      <c r="L13" s="113">
        <f t="shared" si="2"/>
        <v>1.8599999999999999</v>
      </c>
    </row>
    <row r="14" spans="1:12" ht="15" thickBot="1" x14ac:dyDescent="0.35">
      <c r="A14" t="s">
        <v>55</v>
      </c>
      <c r="B14">
        <v>200</v>
      </c>
      <c r="C14">
        <v>10</v>
      </c>
      <c r="D14">
        <v>1.8199999999999998</v>
      </c>
      <c r="E14">
        <v>1.97</v>
      </c>
      <c r="H14" s="243"/>
      <c r="I14" s="111">
        <v>500</v>
      </c>
      <c r="J14" s="113">
        <f t="shared" si="0"/>
        <v>1.6699999999999997</v>
      </c>
      <c r="K14" s="113">
        <f t="shared" si="1"/>
        <v>1.6899999999999997</v>
      </c>
      <c r="L14" s="113">
        <f t="shared" si="2"/>
        <v>1.8299999999999998</v>
      </c>
    </row>
    <row r="15" spans="1:12" ht="15" thickBot="1" x14ac:dyDescent="0.35">
      <c r="A15" t="s">
        <v>55</v>
      </c>
      <c r="B15">
        <v>500</v>
      </c>
      <c r="C15">
        <v>10</v>
      </c>
      <c r="D15">
        <v>1.6099999999999997</v>
      </c>
      <c r="E15">
        <v>1.7999999999999998</v>
      </c>
      <c r="H15" s="244"/>
      <c r="I15" s="111">
        <v>900</v>
      </c>
      <c r="J15" s="113" t="str">
        <f t="shared" si="0"/>
        <v>-</v>
      </c>
      <c r="K15" s="113" t="str">
        <f t="shared" si="1"/>
        <v>-</v>
      </c>
      <c r="L15" s="113" t="str">
        <f t="shared" si="2"/>
        <v>-</v>
      </c>
    </row>
    <row r="16" spans="1:12" ht="15" thickBot="1" x14ac:dyDescent="0.35">
      <c r="A16" t="s">
        <v>55</v>
      </c>
      <c r="B16">
        <v>900</v>
      </c>
      <c r="C16">
        <v>10</v>
      </c>
      <c r="D16" t="s">
        <v>136</v>
      </c>
      <c r="E16" t="s">
        <v>136</v>
      </c>
      <c r="H16" s="242" t="s">
        <v>55</v>
      </c>
      <c r="I16" s="111">
        <v>200</v>
      </c>
      <c r="J16" s="113">
        <f t="shared" si="0"/>
        <v>1.8199999999999998</v>
      </c>
      <c r="K16" s="113">
        <f t="shared" si="1"/>
        <v>1.8399999999999999</v>
      </c>
      <c r="L16" s="113">
        <f t="shared" si="2"/>
        <v>1.96</v>
      </c>
    </row>
    <row r="17" spans="1:12" ht="15" thickBot="1" x14ac:dyDescent="0.35">
      <c r="A17" t="s">
        <v>56</v>
      </c>
      <c r="B17">
        <v>200</v>
      </c>
      <c r="C17">
        <v>10</v>
      </c>
      <c r="D17">
        <v>1.6999999999999997</v>
      </c>
      <c r="E17">
        <v>1.88</v>
      </c>
      <c r="H17" s="243"/>
      <c r="I17" s="111">
        <v>500</v>
      </c>
      <c r="J17" s="113">
        <f t="shared" si="0"/>
        <v>1.6099999999999997</v>
      </c>
      <c r="K17" s="113">
        <f t="shared" si="1"/>
        <v>1.6399999999999997</v>
      </c>
      <c r="L17" s="113">
        <f t="shared" si="2"/>
        <v>1.7699999999999998</v>
      </c>
    </row>
    <row r="18" spans="1:12" ht="15" thickBot="1" x14ac:dyDescent="0.35">
      <c r="A18" t="s">
        <v>56</v>
      </c>
      <c r="B18">
        <v>500</v>
      </c>
      <c r="C18">
        <v>10</v>
      </c>
      <c r="D18">
        <v>1.6099999999999997</v>
      </c>
      <c r="E18">
        <v>1.7999999999999998</v>
      </c>
      <c r="H18" s="244"/>
      <c r="I18" s="111">
        <v>900</v>
      </c>
      <c r="J18" s="113" t="str">
        <f t="shared" si="0"/>
        <v>-</v>
      </c>
      <c r="K18" s="113" t="str">
        <f t="shared" si="1"/>
        <v>-</v>
      </c>
      <c r="L18" s="113" t="str">
        <f t="shared" si="2"/>
        <v>-</v>
      </c>
    </row>
    <row r="19" spans="1:12" ht="15" thickBot="1" x14ac:dyDescent="0.35">
      <c r="A19" t="s">
        <v>56</v>
      </c>
      <c r="B19">
        <v>900</v>
      </c>
      <c r="C19">
        <v>10</v>
      </c>
      <c r="D19" t="s">
        <v>136</v>
      </c>
      <c r="E19" t="s">
        <v>136</v>
      </c>
      <c r="H19" s="242" t="s">
        <v>56</v>
      </c>
      <c r="I19" s="111">
        <v>200</v>
      </c>
      <c r="J19" s="113">
        <f t="shared" si="0"/>
        <v>1.6999999999999997</v>
      </c>
      <c r="K19" s="113">
        <f t="shared" si="1"/>
        <v>1.7299999999999998</v>
      </c>
      <c r="L19" s="113">
        <f t="shared" si="2"/>
        <v>1.8599999999999999</v>
      </c>
    </row>
    <row r="20" spans="1:12" ht="15" thickBot="1" x14ac:dyDescent="0.35">
      <c r="A20" t="s">
        <v>57</v>
      </c>
      <c r="B20">
        <v>200</v>
      </c>
      <c r="C20">
        <v>10</v>
      </c>
      <c r="D20">
        <v>1.5699999999999996</v>
      </c>
      <c r="E20">
        <v>1.7699999999999998</v>
      </c>
      <c r="H20" s="243"/>
      <c r="I20" s="111">
        <v>500</v>
      </c>
      <c r="J20" s="113">
        <f t="shared" si="0"/>
        <v>1.6099999999999997</v>
      </c>
      <c r="K20" s="113">
        <f t="shared" si="1"/>
        <v>1.6399999999999997</v>
      </c>
      <c r="L20" s="113">
        <f t="shared" si="2"/>
        <v>1.7699999999999998</v>
      </c>
    </row>
    <row r="21" spans="1:12" ht="15" thickBot="1" x14ac:dyDescent="0.35">
      <c r="A21" t="s">
        <v>57</v>
      </c>
      <c r="B21">
        <v>500</v>
      </c>
      <c r="C21">
        <v>10</v>
      </c>
      <c r="D21" t="s">
        <v>136</v>
      </c>
      <c r="E21" t="s">
        <v>136</v>
      </c>
      <c r="H21" s="244"/>
      <c r="I21" s="111">
        <v>900</v>
      </c>
      <c r="J21" s="113" t="str">
        <f t="shared" si="0"/>
        <v>-</v>
      </c>
      <c r="K21" s="113" t="str">
        <f t="shared" si="1"/>
        <v>-</v>
      </c>
      <c r="L21" s="113" t="str">
        <f t="shared" si="2"/>
        <v>-</v>
      </c>
    </row>
    <row r="22" spans="1:12" ht="15" thickBot="1" x14ac:dyDescent="0.35">
      <c r="A22" t="s">
        <v>57</v>
      </c>
      <c r="B22">
        <v>900</v>
      </c>
      <c r="C22">
        <v>10</v>
      </c>
      <c r="D22" t="s">
        <v>136</v>
      </c>
      <c r="E22" t="s">
        <v>136</v>
      </c>
      <c r="H22" s="242" t="s">
        <v>57</v>
      </c>
      <c r="I22" s="111">
        <v>200</v>
      </c>
      <c r="J22" s="113">
        <f t="shared" si="0"/>
        <v>1.5699999999999996</v>
      </c>
      <c r="K22" s="113">
        <f t="shared" si="1"/>
        <v>1.5999999999999996</v>
      </c>
      <c r="L22" s="113">
        <f t="shared" si="2"/>
        <v>1.7399999999999998</v>
      </c>
    </row>
    <row r="23" spans="1:12" ht="15" thickBot="1" x14ac:dyDescent="0.35">
      <c r="A23" t="s">
        <v>58</v>
      </c>
      <c r="B23">
        <v>200</v>
      </c>
      <c r="C23">
        <v>10</v>
      </c>
      <c r="D23" t="s">
        <v>136</v>
      </c>
      <c r="E23" t="s">
        <v>136</v>
      </c>
      <c r="H23" s="243"/>
      <c r="I23" s="111">
        <v>500</v>
      </c>
      <c r="J23" s="113" t="str">
        <f t="shared" si="0"/>
        <v>-</v>
      </c>
      <c r="K23" s="113" t="str">
        <f t="shared" si="1"/>
        <v>-</v>
      </c>
      <c r="L23" s="113">
        <f t="shared" si="2"/>
        <v>1.6399999999999997</v>
      </c>
    </row>
    <row r="24" spans="1:12" ht="15" thickBot="1" x14ac:dyDescent="0.35">
      <c r="A24" t="s">
        <v>58</v>
      </c>
      <c r="B24">
        <v>500</v>
      </c>
      <c r="C24">
        <v>10</v>
      </c>
      <c r="D24" t="s">
        <v>136</v>
      </c>
      <c r="E24" t="s">
        <v>136</v>
      </c>
      <c r="H24" s="244"/>
      <c r="I24" s="111">
        <v>900</v>
      </c>
      <c r="J24" s="113" t="str">
        <f t="shared" si="0"/>
        <v>-</v>
      </c>
      <c r="K24" s="113" t="str">
        <f t="shared" si="1"/>
        <v>-</v>
      </c>
      <c r="L24" s="113" t="str">
        <f t="shared" si="2"/>
        <v>-</v>
      </c>
    </row>
    <row r="25" spans="1:12" ht="15" thickBot="1" x14ac:dyDescent="0.35">
      <c r="A25" t="s">
        <v>58</v>
      </c>
      <c r="B25">
        <v>900</v>
      </c>
      <c r="C25">
        <v>10</v>
      </c>
      <c r="D25" t="s">
        <v>136</v>
      </c>
      <c r="E25" t="s">
        <v>136</v>
      </c>
      <c r="H25" s="242" t="s">
        <v>58</v>
      </c>
      <c r="I25" s="111">
        <v>200</v>
      </c>
      <c r="J25" s="113" t="str">
        <f t="shared" si="0"/>
        <v>-</v>
      </c>
      <c r="K25" s="113" t="str">
        <f t="shared" si="1"/>
        <v>-</v>
      </c>
      <c r="L25" s="113">
        <f t="shared" si="2"/>
        <v>1.6099999999999997</v>
      </c>
    </row>
    <row r="26" spans="1:12" ht="15" thickBot="1" x14ac:dyDescent="0.35">
      <c r="A26" t="s">
        <v>51</v>
      </c>
      <c r="B26">
        <v>200</v>
      </c>
      <c r="C26">
        <v>25</v>
      </c>
      <c r="D26">
        <v>2</v>
      </c>
      <c r="E26">
        <v>2</v>
      </c>
      <c r="H26" s="243"/>
      <c r="I26" s="111">
        <v>500</v>
      </c>
      <c r="J26" s="113" t="str">
        <f t="shared" si="0"/>
        <v>-</v>
      </c>
      <c r="K26" s="113" t="str">
        <f t="shared" si="1"/>
        <v>-</v>
      </c>
      <c r="L26" s="113" t="str">
        <f t="shared" si="2"/>
        <v>-</v>
      </c>
    </row>
    <row r="27" spans="1:12" ht="15" thickBot="1" x14ac:dyDescent="0.35">
      <c r="A27" t="s">
        <v>51</v>
      </c>
      <c r="B27">
        <v>500</v>
      </c>
      <c r="C27">
        <v>25</v>
      </c>
      <c r="D27">
        <v>1.7699999999999998</v>
      </c>
      <c r="E27">
        <v>1.93</v>
      </c>
      <c r="H27" s="244"/>
      <c r="I27" s="111">
        <v>900</v>
      </c>
      <c r="J27" s="113" t="str">
        <f t="shared" si="0"/>
        <v>-</v>
      </c>
      <c r="K27" s="113" t="str">
        <f t="shared" si="1"/>
        <v>-</v>
      </c>
      <c r="L27" s="113" t="str">
        <f t="shared" si="2"/>
        <v>-</v>
      </c>
    </row>
    <row r="28" spans="1:12" x14ac:dyDescent="0.3">
      <c r="A28" t="s">
        <v>51</v>
      </c>
      <c r="B28">
        <v>900</v>
      </c>
      <c r="C28">
        <v>25</v>
      </c>
      <c r="D28" t="s">
        <v>136</v>
      </c>
      <c r="E28" t="s">
        <v>136</v>
      </c>
      <c r="H28" s="79"/>
      <c r="I28" s="79"/>
      <c r="J28" s="79"/>
      <c r="K28" s="79"/>
      <c r="L28" s="79"/>
    </row>
    <row r="29" spans="1:12" ht="15" thickBot="1" x14ac:dyDescent="0.35">
      <c r="A29" t="s">
        <v>52</v>
      </c>
      <c r="B29">
        <v>200</v>
      </c>
      <c r="C29">
        <v>25</v>
      </c>
      <c r="D29">
        <v>1.89</v>
      </c>
      <c r="E29">
        <v>2</v>
      </c>
      <c r="H29" s="79" t="s">
        <v>149</v>
      </c>
      <c r="I29" s="79" t="s">
        <v>73</v>
      </c>
      <c r="J29" s="79"/>
      <c r="K29" s="79"/>
      <c r="L29" s="79"/>
    </row>
    <row r="30" spans="1:12" ht="15" thickBot="1" x14ac:dyDescent="0.35">
      <c r="A30" t="s">
        <v>52</v>
      </c>
      <c r="B30">
        <v>500</v>
      </c>
      <c r="C30">
        <v>25</v>
      </c>
      <c r="D30">
        <v>1.7699999999999998</v>
      </c>
      <c r="E30">
        <v>1.93</v>
      </c>
      <c r="H30" s="242" t="s">
        <v>151</v>
      </c>
      <c r="I30" s="245" t="s">
        <v>3</v>
      </c>
      <c r="J30" s="247" t="s">
        <v>154</v>
      </c>
      <c r="K30" s="249"/>
      <c r="L30" s="248"/>
    </row>
    <row r="31" spans="1:12" ht="15" thickBot="1" x14ac:dyDescent="0.35">
      <c r="A31" t="s">
        <v>52</v>
      </c>
      <c r="B31">
        <v>900</v>
      </c>
      <c r="C31">
        <v>25</v>
      </c>
      <c r="D31" t="s">
        <v>136</v>
      </c>
      <c r="E31" t="s">
        <v>136</v>
      </c>
      <c r="H31" s="244"/>
      <c r="I31" s="246"/>
      <c r="J31" s="111" t="s">
        <v>155</v>
      </c>
      <c r="K31" s="111" t="s">
        <v>156</v>
      </c>
      <c r="L31" s="111" t="s">
        <v>157</v>
      </c>
    </row>
    <row r="32" spans="1:12" ht="15" thickBot="1" x14ac:dyDescent="0.35">
      <c r="A32" t="s">
        <v>53</v>
      </c>
      <c r="B32">
        <v>200</v>
      </c>
      <c r="C32">
        <v>25</v>
      </c>
      <c r="D32">
        <v>1.89</v>
      </c>
      <c r="E32">
        <v>2</v>
      </c>
      <c r="H32" s="242" t="s">
        <v>51</v>
      </c>
      <c r="I32" s="111">
        <v>200</v>
      </c>
      <c r="J32" s="113">
        <f>E2</f>
        <v>2</v>
      </c>
      <c r="K32" s="113">
        <f>E26</f>
        <v>2</v>
      </c>
      <c r="L32" s="113">
        <f>E50</f>
        <v>2</v>
      </c>
    </row>
    <row r="33" spans="1:12" ht="15" thickBot="1" x14ac:dyDescent="0.35">
      <c r="A33" t="s">
        <v>53</v>
      </c>
      <c r="B33">
        <v>500</v>
      </c>
      <c r="C33">
        <v>25</v>
      </c>
      <c r="D33">
        <v>1.6899999999999997</v>
      </c>
      <c r="E33">
        <v>1.8699999999999999</v>
      </c>
      <c r="H33" s="243"/>
      <c r="I33" s="111">
        <v>500</v>
      </c>
      <c r="J33" s="113">
        <f t="shared" ref="J33:J55" si="3">E3</f>
        <v>1.91</v>
      </c>
      <c r="K33" s="113">
        <f t="shared" ref="K33:K55" si="4">E27</f>
        <v>1.93</v>
      </c>
      <c r="L33" s="113">
        <f t="shared" ref="L33:L55" si="5">E51</f>
        <v>2</v>
      </c>
    </row>
    <row r="34" spans="1:12" ht="15" thickBot="1" x14ac:dyDescent="0.35">
      <c r="A34" t="s">
        <v>53</v>
      </c>
      <c r="B34">
        <v>900</v>
      </c>
      <c r="C34">
        <v>25</v>
      </c>
      <c r="D34" t="s">
        <v>136</v>
      </c>
      <c r="E34" t="s">
        <v>136</v>
      </c>
      <c r="H34" s="244"/>
      <c r="I34" s="111">
        <v>900</v>
      </c>
      <c r="J34" s="113" t="str">
        <f t="shared" si="3"/>
        <v>-</v>
      </c>
      <c r="K34" s="113" t="str">
        <f t="shared" si="4"/>
        <v>-</v>
      </c>
      <c r="L34" s="113" t="str">
        <f t="shared" si="5"/>
        <v>-</v>
      </c>
    </row>
    <row r="35" spans="1:12" ht="15" thickBot="1" x14ac:dyDescent="0.35">
      <c r="A35" t="s">
        <v>54</v>
      </c>
      <c r="B35">
        <v>200</v>
      </c>
      <c r="C35">
        <v>25</v>
      </c>
      <c r="D35">
        <v>1.7299999999999998</v>
      </c>
      <c r="E35">
        <v>1.9</v>
      </c>
      <c r="H35" s="242" t="s">
        <v>52</v>
      </c>
      <c r="I35" s="111">
        <v>200</v>
      </c>
      <c r="J35" s="113">
        <f t="shared" si="3"/>
        <v>2</v>
      </c>
      <c r="K35" s="113">
        <f t="shared" si="4"/>
        <v>2</v>
      </c>
      <c r="L35" s="113">
        <f t="shared" si="5"/>
        <v>2</v>
      </c>
    </row>
    <row r="36" spans="1:12" ht="15" thickBot="1" x14ac:dyDescent="0.35">
      <c r="A36" t="s">
        <v>54</v>
      </c>
      <c r="B36">
        <v>500</v>
      </c>
      <c r="C36">
        <v>25</v>
      </c>
      <c r="D36">
        <v>1.6899999999999997</v>
      </c>
      <c r="E36">
        <v>1.8699999999999999</v>
      </c>
      <c r="H36" s="243"/>
      <c r="I36" s="111">
        <v>500</v>
      </c>
      <c r="J36" s="113">
        <f t="shared" si="3"/>
        <v>1.91</v>
      </c>
      <c r="K36" s="113">
        <f t="shared" si="4"/>
        <v>1.93</v>
      </c>
      <c r="L36" s="113">
        <f t="shared" si="5"/>
        <v>2</v>
      </c>
    </row>
    <row r="37" spans="1:12" ht="15" thickBot="1" x14ac:dyDescent="0.35">
      <c r="A37" t="s">
        <v>54</v>
      </c>
      <c r="B37">
        <v>900</v>
      </c>
      <c r="C37">
        <v>25</v>
      </c>
      <c r="D37" t="s">
        <v>136</v>
      </c>
      <c r="E37" t="s">
        <v>136</v>
      </c>
      <c r="H37" s="244"/>
      <c r="I37" s="111">
        <v>900</v>
      </c>
      <c r="J37" s="113" t="str">
        <f t="shared" si="3"/>
        <v>-</v>
      </c>
      <c r="K37" s="113" t="str">
        <f t="shared" si="4"/>
        <v>-</v>
      </c>
      <c r="L37" s="113" t="str">
        <f t="shared" si="5"/>
        <v>-</v>
      </c>
    </row>
    <row r="38" spans="1:12" ht="15" thickBot="1" x14ac:dyDescent="0.35">
      <c r="A38" t="s">
        <v>55</v>
      </c>
      <c r="B38">
        <v>200</v>
      </c>
      <c r="C38">
        <v>25</v>
      </c>
      <c r="D38">
        <v>1.8399999999999999</v>
      </c>
      <c r="E38">
        <v>1.99</v>
      </c>
      <c r="H38" s="242" t="s">
        <v>53</v>
      </c>
      <c r="I38" s="111">
        <v>200</v>
      </c>
      <c r="J38" s="113">
        <f t="shared" si="3"/>
        <v>2</v>
      </c>
      <c r="K38" s="113">
        <f t="shared" si="4"/>
        <v>2</v>
      </c>
      <c r="L38" s="113">
        <f t="shared" si="5"/>
        <v>2</v>
      </c>
    </row>
    <row r="39" spans="1:12" ht="15" thickBot="1" x14ac:dyDescent="0.35">
      <c r="A39" t="s">
        <v>55</v>
      </c>
      <c r="B39">
        <v>500</v>
      </c>
      <c r="C39">
        <v>25</v>
      </c>
      <c r="D39">
        <v>1.6399999999999997</v>
      </c>
      <c r="E39">
        <v>1.8299999999999998</v>
      </c>
      <c r="H39" s="243"/>
      <c r="I39" s="111">
        <v>500</v>
      </c>
      <c r="J39" s="113">
        <f t="shared" si="3"/>
        <v>1.8599999999999999</v>
      </c>
      <c r="K39" s="113">
        <f t="shared" si="4"/>
        <v>1.8699999999999999</v>
      </c>
      <c r="L39" s="113">
        <f t="shared" si="5"/>
        <v>1.97</v>
      </c>
    </row>
    <row r="40" spans="1:12" ht="15" thickBot="1" x14ac:dyDescent="0.35">
      <c r="A40" t="s">
        <v>55</v>
      </c>
      <c r="B40">
        <v>900</v>
      </c>
      <c r="C40">
        <v>25</v>
      </c>
      <c r="D40" t="s">
        <v>136</v>
      </c>
      <c r="E40" t="s">
        <v>136</v>
      </c>
      <c r="H40" s="244"/>
      <c r="I40" s="111">
        <v>900</v>
      </c>
      <c r="J40" s="113" t="str">
        <f t="shared" si="3"/>
        <v>-</v>
      </c>
      <c r="K40" s="113" t="str">
        <f t="shared" si="4"/>
        <v>-</v>
      </c>
      <c r="L40" s="113" t="str">
        <f t="shared" si="5"/>
        <v>-</v>
      </c>
    </row>
    <row r="41" spans="1:12" ht="15" thickBot="1" x14ac:dyDescent="0.35">
      <c r="A41" t="s">
        <v>56</v>
      </c>
      <c r="B41">
        <v>200</v>
      </c>
      <c r="C41">
        <v>25</v>
      </c>
      <c r="D41">
        <v>1.7299999999999998</v>
      </c>
      <c r="E41">
        <v>1.9</v>
      </c>
      <c r="H41" s="242" t="s">
        <v>54</v>
      </c>
      <c r="I41" s="111">
        <v>200</v>
      </c>
      <c r="J41" s="113">
        <f t="shared" si="3"/>
        <v>1.88</v>
      </c>
      <c r="K41" s="113">
        <f t="shared" si="4"/>
        <v>1.9</v>
      </c>
      <c r="L41" s="113">
        <f t="shared" si="5"/>
        <v>2</v>
      </c>
    </row>
    <row r="42" spans="1:12" ht="15" thickBot="1" x14ac:dyDescent="0.35">
      <c r="A42" t="s">
        <v>56</v>
      </c>
      <c r="B42">
        <v>500</v>
      </c>
      <c r="C42">
        <v>25</v>
      </c>
      <c r="D42">
        <v>1.6399999999999997</v>
      </c>
      <c r="E42">
        <v>1.8299999999999998</v>
      </c>
      <c r="H42" s="243"/>
      <c r="I42" s="111">
        <v>500</v>
      </c>
      <c r="J42" s="113">
        <f t="shared" si="3"/>
        <v>1.8599999999999999</v>
      </c>
      <c r="K42" s="113">
        <f t="shared" si="4"/>
        <v>1.8699999999999999</v>
      </c>
      <c r="L42" s="113">
        <f t="shared" si="5"/>
        <v>1.97</v>
      </c>
    </row>
    <row r="43" spans="1:12" ht="15" thickBot="1" x14ac:dyDescent="0.35">
      <c r="A43" t="s">
        <v>56</v>
      </c>
      <c r="B43">
        <v>900</v>
      </c>
      <c r="C43">
        <v>25</v>
      </c>
      <c r="D43" t="s">
        <v>136</v>
      </c>
      <c r="E43" t="s">
        <v>136</v>
      </c>
      <c r="H43" s="244"/>
      <c r="I43" s="111">
        <v>900</v>
      </c>
      <c r="J43" s="113" t="str">
        <f t="shared" si="3"/>
        <v>-</v>
      </c>
      <c r="K43" s="113" t="str">
        <f t="shared" si="4"/>
        <v>-</v>
      </c>
      <c r="L43" s="113" t="str">
        <f t="shared" si="5"/>
        <v>-</v>
      </c>
    </row>
    <row r="44" spans="1:12" ht="15" thickBot="1" x14ac:dyDescent="0.35">
      <c r="A44" t="s">
        <v>57</v>
      </c>
      <c r="B44">
        <v>200</v>
      </c>
      <c r="C44">
        <v>25</v>
      </c>
      <c r="D44">
        <v>1.5999999999999996</v>
      </c>
      <c r="E44">
        <v>1.7999999999999998</v>
      </c>
      <c r="H44" s="242" t="s">
        <v>55</v>
      </c>
      <c r="I44" s="111">
        <v>200</v>
      </c>
      <c r="J44" s="113">
        <f t="shared" si="3"/>
        <v>1.97</v>
      </c>
      <c r="K44" s="113">
        <f t="shared" si="4"/>
        <v>1.99</v>
      </c>
      <c r="L44" s="113">
        <f t="shared" si="5"/>
        <v>2</v>
      </c>
    </row>
    <row r="45" spans="1:12" ht="15" thickBot="1" x14ac:dyDescent="0.35">
      <c r="A45" t="s">
        <v>57</v>
      </c>
      <c r="B45">
        <v>500</v>
      </c>
      <c r="C45">
        <v>25</v>
      </c>
      <c r="D45" t="s">
        <v>136</v>
      </c>
      <c r="E45" t="s">
        <v>136</v>
      </c>
      <c r="H45" s="243"/>
      <c r="I45" s="111">
        <v>500</v>
      </c>
      <c r="J45" s="113">
        <f t="shared" si="3"/>
        <v>1.7999999999999998</v>
      </c>
      <c r="K45" s="113">
        <f t="shared" si="4"/>
        <v>1.8299999999999998</v>
      </c>
      <c r="L45" s="113">
        <f t="shared" si="5"/>
        <v>1.93</v>
      </c>
    </row>
    <row r="46" spans="1:12" ht="15" thickBot="1" x14ac:dyDescent="0.35">
      <c r="A46" t="s">
        <v>57</v>
      </c>
      <c r="B46">
        <v>900</v>
      </c>
      <c r="C46">
        <v>25</v>
      </c>
      <c r="D46" t="s">
        <v>136</v>
      </c>
      <c r="E46" t="s">
        <v>136</v>
      </c>
      <c r="H46" s="244"/>
      <c r="I46" s="111">
        <v>900</v>
      </c>
      <c r="J46" s="113" t="str">
        <f t="shared" si="3"/>
        <v>-</v>
      </c>
      <c r="K46" s="113" t="str">
        <f t="shared" si="4"/>
        <v>-</v>
      </c>
      <c r="L46" s="113" t="str">
        <f t="shared" si="5"/>
        <v>-</v>
      </c>
    </row>
    <row r="47" spans="1:12" ht="15" thickBot="1" x14ac:dyDescent="0.35">
      <c r="A47" t="s">
        <v>58</v>
      </c>
      <c r="B47">
        <v>200</v>
      </c>
      <c r="C47">
        <v>25</v>
      </c>
      <c r="D47" t="s">
        <v>136</v>
      </c>
      <c r="E47" t="s">
        <v>136</v>
      </c>
      <c r="H47" s="242" t="s">
        <v>56</v>
      </c>
      <c r="I47" s="111">
        <v>200</v>
      </c>
      <c r="J47" s="113">
        <f t="shared" si="3"/>
        <v>1.88</v>
      </c>
      <c r="K47" s="113">
        <f t="shared" si="4"/>
        <v>1.9</v>
      </c>
      <c r="L47" s="113">
        <f t="shared" si="5"/>
        <v>2</v>
      </c>
    </row>
    <row r="48" spans="1:12" ht="15" thickBot="1" x14ac:dyDescent="0.35">
      <c r="A48" t="s">
        <v>58</v>
      </c>
      <c r="B48">
        <v>500</v>
      </c>
      <c r="C48">
        <v>25</v>
      </c>
      <c r="D48" t="s">
        <v>136</v>
      </c>
      <c r="E48" t="s">
        <v>136</v>
      </c>
      <c r="H48" s="243"/>
      <c r="I48" s="111">
        <v>500</v>
      </c>
      <c r="J48" s="113">
        <f t="shared" si="3"/>
        <v>1.7999999999999998</v>
      </c>
      <c r="K48" s="113">
        <f t="shared" si="4"/>
        <v>1.8299999999999998</v>
      </c>
      <c r="L48" s="113">
        <f t="shared" si="5"/>
        <v>1.93</v>
      </c>
    </row>
    <row r="49" spans="1:12" ht="15" thickBot="1" x14ac:dyDescent="0.35">
      <c r="A49" t="s">
        <v>58</v>
      </c>
      <c r="B49">
        <v>900</v>
      </c>
      <c r="C49">
        <v>25</v>
      </c>
      <c r="D49" t="s">
        <v>136</v>
      </c>
      <c r="E49" t="s">
        <v>136</v>
      </c>
      <c r="H49" s="244"/>
      <c r="I49" s="111">
        <v>900</v>
      </c>
      <c r="J49" s="113" t="str">
        <f t="shared" si="3"/>
        <v>-</v>
      </c>
      <c r="K49" s="113" t="str">
        <f t="shared" si="4"/>
        <v>-</v>
      </c>
      <c r="L49" s="113" t="str">
        <f t="shared" si="5"/>
        <v>-</v>
      </c>
    </row>
    <row r="50" spans="1:12" ht="15" thickBot="1" x14ac:dyDescent="0.35">
      <c r="A50" t="s">
        <v>51</v>
      </c>
      <c r="B50">
        <v>200</v>
      </c>
      <c r="C50">
        <v>60</v>
      </c>
      <c r="D50">
        <v>2</v>
      </c>
      <c r="E50">
        <v>2</v>
      </c>
      <c r="H50" s="242" t="s">
        <v>57</v>
      </c>
      <c r="I50" s="111">
        <v>200</v>
      </c>
      <c r="J50" s="113">
        <f t="shared" si="3"/>
        <v>1.7699999999999998</v>
      </c>
      <c r="K50" s="113">
        <f t="shared" si="4"/>
        <v>1.7999999999999998</v>
      </c>
      <c r="L50" s="113">
        <f t="shared" si="5"/>
        <v>1.91</v>
      </c>
    </row>
    <row r="51" spans="1:12" ht="15" thickBot="1" x14ac:dyDescent="0.35">
      <c r="A51" t="s">
        <v>51</v>
      </c>
      <c r="B51">
        <v>500</v>
      </c>
      <c r="C51">
        <v>60</v>
      </c>
      <c r="D51">
        <v>1.89</v>
      </c>
      <c r="E51">
        <v>2</v>
      </c>
      <c r="H51" s="243"/>
      <c r="I51" s="111">
        <v>500</v>
      </c>
      <c r="J51" s="113" t="str">
        <f t="shared" si="3"/>
        <v>-</v>
      </c>
      <c r="K51" s="113" t="str">
        <f t="shared" si="4"/>
        <v>-</v>
      </c>
      <c r="L51" s="113">
        <f t="shared" si="5"/>
        <v>1.8299999999999998</v>
      </c>
    </row>
    <row r="52" spans="1:12" ht="15" thickBot="1" x14ac:dyDescent="0.35">
      <c r="A52" t="s">
        <v>51</v>
      </c>
      <c r="B52">
        <v>900</v>
      </c>
      <c r="C52">
        <v>60</v>
      </c>
      <c r="D52" t="s">
        <v>136</v>
      </c>
      <c r="E52" t="s">
        <v>136</v>
      </c>
      <c r="H52" s="244"/>
      <c r="I52" s="111">
        <v>900</v>
      </c>
      <c r="J52" s="113" t="str">
        <f t="shared" si="3"/>
        <v>-</v>
      </c>
      <c r="K52" s="113" t="str">
        <f t="shared" si="4"/>
        <v>-</v>
      </c>
      <c r="L52" s="113" t="str">
        <f t="shared" si="5"/>
        <v>-</v>
      </c>
    </row>
    <row r="53" spans="1:12" ht="15" thickBot="1" x14ac:dyDescent="0.35">
      <c r="A53" t="s">
        <v>52</v>
      </c>
      <c r="B53">
        <v>200</v>
      </c>
      <c r="C53">
        <v>60</v>
      </c>
      <c r="D53">
        <v>1.99</v>
      </c>
      <c r="E53">
        <v>2</v>
      </c>
      <c r="H53" s="242" t="s">
        <v>58</v>
      </c>
      <c r="I53" s="111">
        <v>200</v>
      </c>
      <c r="J53" s="113" t="str">
        <f t="shared" si="3"/>
        <v>-</v>
      </c>
      <c r="K53" s="113" t="str">
        <f t="shared" si="4"/>
        <v>-</v>
      </c>
      <c r="L53" s="113">
        <f t="shared" si="5"/>
        <v>1.8099999999999998</v>
      </c>
    </row>
    <row r="54" spans="1:12" ht="15" thickBot="1" x14ac:dyDescent="0.35">
      <c r="A54" t="s">
        <v>52</v>
      </c>
      <c r="B54">
        <v>500</v>
      </c>
      <c r="C54">
        <v>60</v>
      </c>
      <c r="D54">
        <v>1.89</v>
      </c>
      <c r="E54">
        <v>2</v>
      </c>
      <c r="H54" s="243"/>
      <c r="I54" s="111">
        <v>500</v>
      </c>
      <c r="J54" s="113" t="str">
        <f t="shared" si="3"/>
        <v>-</v>
      </c>
      <c r="K54" s="113" t="str">
        <f t="shared" si="4"/>
        <v>-</v>
      </c>
      <c r="L54" s="113" t="str">
        <f t="shared" si="5"/>
        <v>-</v>
      </c>
    </row>
    <row r="55" spans="1:12" ht="15" thickBot="1" x14ac:dyDescent="0.35">
      <c r="A55" t="s">
        <v>52</v>
      </c>
      <c r="B55">
        <v>900</v>
      </c>
      <c r="C55">
        <v>60</v>
      </c>
      <c r="D55" t="s">
        <v>136</v>
      </c>
      <c r="E55" t="s">
        <v>136</v>
      </c>
      <c r="H55" s="244"/>
      <c r="I55" s="111">
        <v>900</v>
      </c>
      <c r="J55" s="113" t="str">
        <f t="shared" si="3"/>
        <v>-</v>
      </c>
      <c r="K55" s="113" t="str">
        <f t="shared" si="4"/>
        <v>-</v>
      </c>
      <c r="L55" s="113" t="str">
        <f t="shared" si="5"/>
        <v>-</v>
      </c>
    </row>
    <row r="56" spans="1:12" x14ac:dyDescent="0.3">
      <c r="A56" t="s">
        <v>53</v>
      </c>
      <c r="B56">
        <v>200</v>
      </c>
      <c r="C56">
        <v>60</v>
      </c>
      <c r="D56">
        <v>1.99</v>
      </c>
      <c r="E56">
        <v>2</v>
      </c>
    </row>
    <row r="57" spans="1:12" x14ac:dyDescent="0.3">
      <c r="A57" t="s">
        <v>53</v>
      </c>
      <c r="B57">
        <v>500</v>
      </c>
      <c r="C57">
        <v>60</v>
      </c>
      <c r="D57">
        <v>1.8299999999999998</v>
      </c>
      <c r="E57">
        <v>1.97</v>
      </c>
    </row>
    <row r="58" spans="1:12" x14ac:dyDescent="0.3">
      <c r="A58" t="s">
        <v>53</v>
      </c>
      <c r="B58">
        <v>900</v>
      </c>
      <c r="C58">
        <v>60</v>
      </c>
      <c r="D58" t="s">
        <v>136</v>
      </c>
      <c r="E58" t="s">
        <v>136</v>
      </c>
    </row>
    <row r="59" spans="1:12" x14ac:dyDescent="0.3">
      <c r="A59" t="s">
        <v>54</v>
      </c>
      <c r="B59">
        <v>200</v>
      </c>
      <c r="C59">
        <v>60</v>
      </c>
      <c r="D59">
        <v>1.8599999999999999</v>
      </c>
      <c r="E59">
        <v>2</v>
      </c>
    </row>
    <row r="60" spans="1:12" x14ac:dyDescent="0.3">
      <c r="A60" t="s">
        <v>54</v>
      </c>
      <c r="B60">
        <v>500</v>
      </c>
      <c r="C60">
        <v>60</v>
      </c>
      <c r="D60">
        <v>1.8299999999999998</v>
      </c>
      <c r="E60">
        <v>1.97</v>
      </c>
    </row>
    <row r="61" spans="1:12" x14ac:dyDescent="0.3">
      <c r="A61" t="s">
        <v>54</v>
      </c>
      <c r="B61">
        <v>900</v>
      </c>
      <c r="C61">
        <v>60</v>
      </c>
      <c r="D61" t="s">
        <v>136</v>
      </c>
      <c r="E61" t="s">
        <v>136</v>
      </c>
    </row>
    <row r="62" spans="1:12" x14ac:dyDescent="0.3">
      <c r="A62" t="s">
        <v>55</v>
      </c>
      <c r="B62">
        <v>200</v>
      </c>
      <c r="C62">
        <v>60</v>
      </c>
      <c r="D62">
        <v>1.96</v>
      </c>
      <c r="E62">
        <v>2</v>
      </c>
    </row>
    <row r="63" spans="1:12" x14ac:dyDescent="0.3">
      <c r="A63" t="s">
        <v>55</v>
      </c>
      <c r="B63">
        <v>500</v>
      </c>
      <c r="C63">
        <v>60</v>
      </c>
      <c r="D63">
        <v>1.7699999999999998</v>
      </c>
      <c r="E63">
        <v>1.93</v>
      </c>
    </row>
    <row r="64" spans="1:12" x14ac:dyDescent="0.3">
      <c r="A64" t="s">
        <v>55</v>
      </c>
      <c r="B64">
        <v>900</v>
      </c>
      <c r="C64">
        <v>60</v>
      </c>
      <c r="D64" t="s">
        <v>136</v>
      </c>
      <c r="E64" t="s">
        <v>136</v>
      </c>
    </row>
    <row r="65" spans="1:5" x14ac:dyDescent="0.3">
      <c r="A65" t="s">
        <v>56</v>
      </c>
      <c r="B65">
        <v>200</v>
      </c>
      <c r="C65">
        <v>60</v>
      </c>
      <c r="D65">
        <v>1.8599999999999999</v>
      </c>
      <c r="E65">
        <v>2</v>
      </c>
    </row>
    <row r="66" spans="1:5" x14ac:dyDescent="0.3">
      <c r="A66" t="s">
        <v>56</v>
      </c>
      <c r="B66">
        <v>500</v>
      </c>
      <c r="C66">
        <v>60</v>
      </c>
      <c r="D66">
        <v>1.7699999999999998</v>
      </c>
      <c r="E66">
        <v>1.93</v>
      </c>
    </row>
    <row r="67" spans="1:5" x14ac:dyDescent="0.3">
      <c r="A67" t="s">
        <v>56</v>
      </c>
      <c r="B67">
        <v>900</v>
      </c>
      <c r="C67">
        <v>60</v>
      </c>
      <c r="D67" t="s">
        <v>136</v>
      </c>
      <c r="E67" t="s">
        <v>136</v>
      </c>
    </row>
    <row r="68" spans="1:5" x14ac:dyDescent="0.3">
      <c r="A68" t="s">
        <v>57</v>
      </c>
      <c r="B68">
        <v>200</v>
      </c>
      <c r="C68">
        <v>60</v>
      </c>
      <c r="D68">
        <v>1.7399999999999998</v>
      </c>
      <c r="E68">
        <v>1.91</v>
      </c>
    </row>
    <row r="69" spans="1:5" x14ac:dyDescent="0.3">
      <c r="A69" t="s">
        <v>57</v>
      </c>
      <c r="B69">
        <v>500</v>
      </c>
      <c r="C69">
        <v>60</v>
      </c>
      <c r="D69">
        <v>1.6399999999999997</v>
      </c>
      <c r="E69">
        <v>1.8299999999999998</v>
      </c>
    </row>
    <row r="70" spans="1:5" x14ac:dyDescent="0.3">
      <c r="A70" t="s">
        <v>57</v>
      </c>
      <c r="B70">
        <v>900</v>
      </c>
      <c r="C70">
        <v>60</v>
      </c>
      <c r="D70" t="s">
        <v>136</v>
      </c>
      <c r="E70" t="s">
        <v>136</v>
      </c>
    </row>
    <row r="71" spans="1:5" x14ac:dyDescent="0.3">
      <c r="A71" t="s">
        <v>58</v>
      </c>
      <c r="B71">
        <v>200</v>
      </c>
      <c r="C71">
        <v>60</v>
      </c>
      <c r="D71">
        <v>1.6099999999999997</v>
      </c>
      <c r="E71">
        <v>1.8099999999999998</v>
      </c>
    </row>
    <row r="72" spans="1:5" x14ac:dyDescent="0.3">
      <c r="A72" t="s">
        <v>58</v>
      </c>
      <c r="B72">
        <v>500</v>
      </c>
      <c r="C72">
        <v>60</v>
      </c>
      <c r="D72" t="s">
        <v>136</v>
      </c>
      <c r="E72" t="s">
        <v>136</v>
      </c>
    </row>
    <row r="73" spans="1:5" x14ac:dyDescent="0.3">
      <c r="A73" t="s">
        <v>58</v>
      </c>
      <c r="B73">
        <v>900</v>
      </c>
      <c r="C73">
        <v>60</v>
      </c>
      <c r="D73" t="s">
        <v>136</v>
      </c>
      <c r="E73" t="s">
        <v>136</v>
      </c>
    </row>
  </sheetData>
  <sheetProtection algorithmName="SHA-512" hashValue="ZH6t0Z6OcZgdg8vR08Y8Cy4Lgy0Mpper3i0gIQFwabLxZ/8Ihg/JIj9RjLZHbLfM8N2csDLek7eQwbhhEBUCLw==" saltValue="KhSRh5cfk5YOePofbX6GPQ==" spinCount="100000" sheet="1" objects="1" scenarios="1" selectLockedCells="1" selectUnlockedCells="1"/>
  <mergeCells count="22">
    <mergeCell ref="H32:H34"/>
    <mergeCell ref="H4:H6"/>
    <mergeCell ref="H7:H9"/>
    <mergeCell ref="H10:H12"/>
    <mergeCell ref="H19:H21"/>
    <mergeCell ref="H25:H27"/>
    <mergeCell ref="H30:H31"/>
    <mergeCell ref="J2:L2"/>
    <mergeCell ref="H22:H24"/>
    <mergeCell ref="H13:H15"/>
    <mergeCell ref="H16:H18"/>
    <mergeCell ref="J30:L30"/>
    <mergeCell ref="I30:I31"/>
    <mergeCell ref="H2:H3"/>
    <mergeCell ref="I2:I3"/>
    <mergeCell ref="H47:H49"/>
    <mergeCell ref="H50:H52"/>
    <mergeCell ref="H53:H55"/>
    <mergeCell ref="H35:H37"/>
    <mergeCell ref="H38:H40"/>
    <mergeCell ref="H41:H43"/>
    <mergeCell ref="H44:H46"/>
  </mergeCells>
  <conditionalFormatting sqref="J4:L27 J32:L55">
    <cfRule type="cellIs" dxfId="3" priority="1" operator="between">
      <formula>1</formula>
      <formula>1.6</formula>
    </cfRule>
    <cfRule type="cellIs" dxfId="2" priority="2" operator="between">
      <formula>1.59</formula>
      <formula>1.79</formula>
    </cfRule>
    <cfRule type="cellIs" dxfId="1" priority="3" operator="between">
      <formula>1.79</formula>
      <formula>1.95</formula>
    </cfRule>
    <cfRule type="cellIs" dxfId="0" priority="4" operator="between">
      <formula>1.95</formula>
      <formula>2.1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Données</vt:lpstr>
      <vt:lpstr>Neige</vt:lpstr>
      <vt:lpstr>Vent</vt:lpstr>
      <vt:lpstr>Charges Admissibles</vt:lpstr>
      <vt:lpstr>A39</vt:lpstr>
      <vt:lpstr>A45</vt:lpstr>
      <vt:lpstr>IN</vt:lpstr>
      <vt:lpstr>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PERROT Baptiste</dc:creator>
  <cp:lastModifiedBy>PERROT Baptiste</cp:lastModifiedBy>
  <dcterms:created xsi:type="dcterms:W3CDTF">2024-04-04T06:26:16Z</dcterms:created>
  <dcterms:modified xsi:type="dcterms:W3CDTF">2026-04-07T13:57:44Z</dcterms:modified>
</cp:coreProperties>
</file>